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8_{8D43A3E2-82BF-4AED-AB82-B9F2071C7EB3}" xr6:coauthVersionLast="47" xr6:coauthVersionMax="47" xr10:uidLastSave="{00000000-0000-0000-0000-000000000000}"/>
  <bookViews>
    <workbookView xWindow="-108" yWindow="-108" windowWidth="23256" windowHeight="12576" tabRatio="893" activeTab="1" xr2:uid="{00000000-000D-0000-FFFF-FFFF00000000}"/>
  </bookViews>
  <sheets>
    <sheet name="Krycí list rozpočtu" sheetId="1" r:id="rId1"/>
    <sheet name="Rozpočet - objekty" sheetId="2" r:id="rId2"/>
    <sheet name="Krycí list rozpočtu (SO 01)" sheetId="3" r:id="rId3"/>
    <sheet name="Stavební rozpočet (SO 01)" sheetId="4" r:id="rId4"/>
    <sheet name="Krycí list rozpočtu (SO 03)" sheetId="5" r:id="rId5"/>
    <sheet name="Stavební rozpočet (SO 03)" sheetId="6" r:id="rId6"/>
    <sheet name="Krycí list rozpočtu (SO 04)" sheetId="7" r:id="rId7"/>
    <sheet name="Stavební rozpočet (SO 04)" sheetId="8" r:id="rId8"/>
    <sheet name="Krycí list rozpočtu (SO 05)" sheetId="9" r:id="rId9"/>
    <sheet name="Stavební rozpočet (SO 05)" sheetId="10" r:id="rId10"/>
    <sheet name="Krycí list rozpočtu (SO 06)" sheetId="11" r:id="rId11"/>
    <sheet name="Stavební rozpočet (SO 06)" sheetId="12" r:id="rId12"/>
    <sheet name="Krycí list rozpočtu (SO 07)" sheetId="16" r:id="rId13"/>
    <sheet name="Stavební rozpočet (SO 07)" sheetId="17" r:id="rId14"/>
    <sheet name="Krycí list rozpočtu (SO 08)" sheetId="13" r:id="rId15"/>
    <sheet name="Stavební rozpočet (SO 08)" sheetId="14" r:id="rId16"/>
    <sheet name="Stavební rozpočet" sheetId="15" state="veryHidden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2" l="1"/>
  <c r="BJ40" i="17" l="1"/>
  <c r="BF40" i="17"/>
  <c r="BD40" i="17"/>
  <c r="AP40" i="17"/>
  <c r="AX40" i="17" s="1"/>
  <c r="AO40" i="17"/>
  <c r="BH40" i="17" s="1"/>
  <c r="AB40" i="17" s="1"/>
  <c r="AK40" i="17"/>
  <c r="AJ40" i="17"/>
  <c r="AH40" i="17"/>
  <c r="AG40" i="17"/>
  <c r="AF40" i="17"/>
  <c r="AE40" i="17"/>
  <c r="AD40" i="17"/>
  <c r="Z40" i="17"/>
  <c r="K40" i="17"/>
  <c r="AL40" i="17" s="1"/>
  <c r="BJ39" i="17"/>
  <c r="BF39" i="17"/>
  <c r="BD39" i="17"/>
  <c r="AP39" i="17"/>
  <c r="BI39" i="17" s="1"/>
  <c r="AC39" i="17" s="1"/>
  <c r="AO39" i="17"/>
  <c r="AW39" i="17" s="1"/>
  <c r="AK39" i="17"/>
  <c r="AJ39" i="17"/>
  <c r="AH39" i="17"/>
  <c r="AG39" i="17"/>
  <c r="AF39" i="17"/>
  <c r="AE39" i="17"/>
  <c r="AD39" i="17"/>
  <c r="Z39" i="17"/>
  <c r="K39" i="17"/>
  <c r="AL39" i="17" s="1"/>
  <c r="BJ38" i="17"/>
  <c r="BF38" i="17"/>
  <c r="BD38" i="17"/>
  <c r="AP38" i="17"/>
  <c r="AX38" i="17" s="1"/>
  <c r="AO38" i="17"/>
  <c r="BH38" i="17" s="1"/>
  <c r="AB38" i="17" s="1"/>
  <c r="AK38" i="17"/>
  <c r="AJ38" i="17"/>
  <c r="AH38" i="17"/>
  <c r="AG38" i="17"/>
  <c r="AF38" i="17"/>
  <c r="AE38" i="17"/>
  <c r="AD38" i="17"/>
  <c r="Z38" i="17"/>
  <c r="K38" i="17"/>
  <c r="AL38" i="17" s="1"/>
  <c r="BJ37" i="17"/>
  <c r="BF37" i="17"/>
  <c r="BD37" i="17"/>
  <c r="AP37" i="17"/>
  <c r="BI37" i="17" s="1"/>
  <c r="AC37" i="17" s="1"/>
  <c r="AO37" i="17"/>
  <c r="AW37" i="17" s="1"/>
  <c r="AK37" i="17"/>
  <c r="AJ37" i="17"/>
  <c r="AH37" i="17"/>
  <c r="AG37" i="17"/>
  <c r="AF37" i="17"/>
  <c r="AE37" i="17"/>
  <c r="AD37" i="17"/>
  <c r="Z37" i="17"/>
  <c r="K37" i="17"/>
  <c r="AL37" i="17" s="1"/>
  <c r="BJ36" i="17"/>
  <c r="BF36" i="17"/>
  <c r="BD36" i="17"/>
  <c r="AP36" i="17"/>
  <c r="AX36" i="17" s="1"/>
  <c r="AO36" i="17"/>
  <c r="BH36" i="17" s="1"/>
  <c r="AB36" i="17" s="1"/>
  <c r="AK36" i="17"/>
  <c r="AJ36" i="17"/>
  <c r="AH36" i="17"/>
  <c r="AG36" i="17"/>
  <c r="AF36" i="17"/>
  <c r="AE36" i="17"/>
  <c r="AD36" i="17"/>
  <c r="Z36" i="17"/>
  <c r="K36" i="17"/>
  <c r="AL36" i="17" s="1"/>
  <c r="BJ35" i="17"/>
  <c r="BF35" i="17"/>
  <c r="BD35" i="17"/>
  <c r="AP35" i="17"/>
  <c r="BI35" i="17" s="1"/>
  <c r="AC35" i="17" s="1"/>
  <c r="AO35" i="17"/>
  <c r="AW35" i="17" s="1"/>
  <c r="AK35" i="17"/>
  <c r="AJ35" i="17"/>
  <c r="AH35" i="17"/>
  <c r="AG35" i="17"/>
  <c r="AF35" i="17"/>
  <c r="AE35" i="17"/>
  <c r="AD35" i="17"/>
  <c r="Z35" i="17"/>
  <c r="K35" i="17"/>
  <c r="AL35" i="17" s="1"/>
  <c r="BJ34" i="17"/>
  <c r="BF34" i="17"/>
  <c r="BD34" i="17"/>
  <c r="AP34" i="17"/>
  <c r="AX34" i="17" s="1"/>
  <c r="AO34" i="17"/>
  <c r="BH34" i="17" s="1"/>
  <c r="AB34" i="17" s="1"/>
  <c r="AK34" i="17"/>
  <c r="AJ34" i="17"/>
  <c r="AH34" i="17"/>
  <c r="AG34" i="17"/>
  <c r="AF34" i="17"/>
  <c r="AE34" i="17"/>
  <c r="AD34" i="17"/>
  <c r="Z34" i="17"/>
  <c r="K34" i="17"/>
  <c r="AL34" i="17" s="1"/>
  <c r="BJ32" i="17"/>
  <c r="BF32" i="17"/>
  <c r="BD32" i="17"/>
  <c r="AP32" i="17"/>
  <c r="AX32" i="17" s="1"/>
  <c r="AO32" i="17"/>
  <c r="BH32" i="17" s="1"/>
  <c r="AB32" i="17" s="1"/>
  <c r="AK32" i="17"/>
  <c r="AJ32" i="17"/>
  <c r="AH32" i="17"/>
  <c r="AG32" i="17"/>
  <c r="AF32" i="17"/>
  <c r="AE32" i="17"/>
  <c r="AD32" i="17"/>
  <c r="Z32" i="17"/>
  <c r="K32" i="17"/>
  <c r="AL32" i="17" s="1"/>
  <c r="BJ31" i="17"/>
  <c r="BF31" i="17"/>
  <c r="BD31" i="17"/>
  <c r="AP31" i="17"/>
  <c r="BI31" i="17" s="1"/>
  <c r="AC31" i="17" s="1"/>
  <c r="AO31" i="17"/>
  <c r="AK31" i="17"/>
  <c r="AJ31" i="17"/>
  <c r="AH31" i="17"/>
  <c r="AG31" i="17"/>
  <c r="AF31" i="17"/>
  <c r="AE31" i="17"/>
  <c r="AD31" i="17"/>
  <c r="Z31" i="17"/>
  <c r="K31" i="17"/>
  <c r="AL31" i="17" s="1"/>
  <c r="BJ30" i="17"/>
  <c r="BF30" i="17"/>
  <c r="BD30" i="17"/>
  <c r="AP30" i="17"/>
  <c r="AX30" i="17" s="1"/>
  <c r="AO30" i="17"/>
  <c r="BH30" i="17" s="1"/>
  <c r="AB30" i="17" s="1"/>
  <c r="AK30" i="17"/>
  <c r="AJ30" i="17"/>
  <c r="AH30" i="17"/>
  <c r="AG30" i="17"/>
  <c r="AF30" i="17"/>
  <c r="AE30" i="17"/>
  <c r="AD30" i="17"/>
  <c r="Z30" i="17"/>
  <c r="K30" i="17"/>
  <c r="AL30" i="17" s="1"/>
  <c r="BJ29" i="17"/>
  <c r="BF29" i="17"/>
  <c r="BD29" i="17"/>
  <c r="AP29" i="17"/>
  <c r="BI29" i="17" s="1"/>
  <c r="AC29" i="17" s="1"/>
  <c r="AO29" i="17"/>
  <c r="AW29" i="17" s="1"/>
  <c r="AK29" i="17"/>
  <c r="AJ29" i="17"/>
  <c r="AH29" i="17"/>
  <c r="AG29" i="17"/>
  <c r="AF29" i="17"/>
  <c r="AE29" i="17"/>
  <c r="AD29" i="17"/>
  <c r="Z29" i="17"/>
  <c r="K29" i="17"/>
  <c r="AL29" i="17" s="1"/>
  <c r="BJ28" i="17"/>
  <c r="BF28" i="17"/>
  <c r="BD28" i="17"/>
  <c r="AP28" i="17"/>
  <c r="AX28" i="17" s="1"/>
  <c r="AO28" i="17"/>
  <c r="BH28" i="17" s="1"/>
  <c r="AB28" i="17" s="1"/>
  <c r="AK28" i="17"/>
  <c r="AJ28" i="17"/>
  <c r="AH28" i="17"/>
  <c r="AG28" i="17"/>
  <c r="AF28" i="17"/>
  <c r="AE28" i="17"/>
  <c r="AD28" i="17"/>
  <c r="Z28" i="17"/>
  <c r="K28" i="17"/>
  <c r="AL28" i="17" s="1"/>
  <c r="BJ27" i="17"/>
  <c r="BF27" i="17"/>
  <c r="BD27" i="17"/>
  <c r="AX27" i="17"/>
  <c r="AP27" i="17"/>
  <c r="BI27" i="17" s="1"/>
  <c r="AC27" i="17" s="1"/>
  <c r="AO27" i="17"/>
  <c r="AW27" i="17" s="1"/>
  <c r="AK27" i="17"/>
  <c r="AJ27" i="17"/>
  <c r="AH27" i="17"/>
  <c r="AG27" i="17"/>
  <c r="AF27" i="17"/>
  <c r="AE27" i="17"/>
  <c r="AD27" i="17"/>
  <c r="Z27" i="17"/>
  <c r="K27" i="17"/>
  <c r="AL27" i="17" s="1"/>
  <c r="BJ26" i="17"/>
  <c r="BF26" i="17"/>
  <c r="BD26" i="17"/>
  <c r="AP26" i="17"/>
  <c r="AX26" i="17" s="1"/>
  <c r="AO26" i="17"/>
  <c r="BH26" i="17" s="1"/>
  <c r="AB26" i="17" s="1"/>
  <c r="AK26" i="17"/>
  <c r="AJ26" i="17"/>
  <c r="AH26" i="17"/>
  <c r="AG26" i="17"/>
  <c r="AF26" i="17"/>
  <c r="AE26" i="17"/>
  <c r="AD26" i="17"/>
  <c r="Z26" i="17"/>
  <c r="K26" i="17"/>
  <c r="AL26" i="17" s="1"/>
  <c r="BJ25" i="17"/>
  <c r="BF25" i="17"/>
  <c r="BD25" i="17"/>
  <c r="AP25" i="17"/>
  <c r="BI25" i="17" s="1"/>
  <c r="AC25" i="17" s="1"/>
  <c r="AO25" i="17"/>
  <c r="AW25" i="17" s="1"/>
  <c r="AK25" i="17"/>
  <c r="AJ25" i="17"/>
  <c r="AH25" i="17"/>
  <c r="AG25" i="17"/>
  <c r="AF25" i="17"/>
  <c r="AE25" i="17"/>
  <c r="AD25" i="17"/>
  <c r="Z25" i="17"/>
  <c r="K25" i="17"/>
  <c r="AL25" i="17" s="1"/>
  <c r="BJ24" i="17"/>
  <c r="BF24" i="17"/>
  <c r="BD24" i="17"/>
  <c r="AP24" i="17"/>
  <c r="AX24" i="17" s="1"/>
  <c r="AO24" i="17"/>
  <c r="BH24" i="17" s="1"/>
  <c r="AB24" i="17" s="1"/>
  <c r="AK24" i="17"/>
  <c r="AJ24" i="17"/>
  <c r="AH24" i="17"/>
  <c r="AG24" i="17"/>
  <c r="AF24" i="17"/>
  <c r="AE24" i="17"/>
  <c r="AD24" i="17"/>
  <c r="Z24" i="17"/>
  <c r="K24" i="17"/>
  <c r="AL24" i="17" s="1"/>
  <c r="BJ23" i="17"/>
  <c r="BF23" i="17"/>
  <c r="BD23" i="17"/>
  <c r="AP23" i="17"/>
  <c r="BI23" i="17" s="1"/>
  <c r="AC23" i="17" s="1"/>
  <c r="AO23" i="17"/>
  <c r="AW23" i="17" s="1"/>
  <c r="AK23" i="17"/>
  <c r="AJ23" i="17"/>
  <c r="AH23" i="17"/>
  <c r="AG23" i="17"/>
  <c r="AF23" i="17"/>
  <c r="AE23" i="17"/>
  <c r="AD23" i="17"/>
  <c r="Z23" i="17"/>
  <c r="K23" i="17"/>
  <c r="AL23" i="17" s="1"/>
  <c r="BJ22" i="17"/>
  <c r="BF22" i="17"/>
  <c r="BD22" i="17"/>
  <c r="AP22" i="17"/>
  <c r="AX22" i="17" s="1"/>
  <c r="AO22" i="17"/>
  <c r="BH22" i="17" s="1"/>
  <c r="AB22" i="17" s="1"/>
  <c r="AK22" i="17"/>
  <c r="AJ22" i="17"/>
  <c r="AH22" i="17"/>
  <c r="AG22" i="17"/>
  <c r="AF22" i="17"/>
  <c r="AE22" i="17"/>
  <c r="AD22" i="17"/>
  <c r="Z22" i="17"/>
  <c r="K22" i="17"/>
  <c r="AL22" i="17" s="1"/>
  <c r="BJ21" i="17"/>
  <c r="BF21" i="17"/>
  <c r="BD21" i="17"/>
  <c r="AP21" i="17"/>
  <c r="BI21" i="17" s="1"/>
  <c r="AC21" i="17" s="1"/>
  <c r="AO21" i="17"/>
  <c r="AW21" i="17" s="1"/>
  <c r="AK21" i="17"/>
  <c r="AJ21" i="17"/>
  <c r="AH21" i="17"/>
  <c r="AG21" i="17"/>
  <c r="AF21" i="17"/>
  <c r="AE21" i="17"/>
  <c r="AD21" i="17"/>
  <c r="Z21" i="17"/>
  <c r="K21" i="17"/>
  <c r="AL21" i="17" s="1"/>
  <c r="BJ20" i="17"/>
  <c r="BF20" i="17"/>
  <c r="BD20" i="17"/>
  <c r="AP20" i="17"/>
  <c r="AX20" i="17" s="1"/>
  <c r="AO20" i="17"/>
  <c r="BH20" i="17" s="1"/>
  <c r="AB20" i="17" s="1"/>
  <c r="AK20" i="17"/>
  <c r="AJ20" i="17"/>
  <c r="AH20" i="17"/>
  <c r="AG20" i="17"/>
  <c r="AF20" i="17"/>
  <c r="AE20" i="17"/>
  <c r="AD20" i="17"/>
  <c r="Z20" i="17"/>
  <c r="K20" i="17"/>
  <c r="AL20" i="17" s="1"/>
  <c r="BJ19" i="17"/>
  <c r="BF19" i="17"/>
  <c r="BD19" i="17"/>
  <c r="AP19" i="17"/>
  <c r="BI19" i="17" s="1"/>
  <c r="AC19" i="17" s="1"/>
  <c r="AO19" i="17"/>
  <c r="AW19" i="17" s="1"/>
  <c r="AK19" i="17"/>
  <c r="AJ19" i="17"/>
  <c r="AH19" i="17"/>
  <c r="AG19" i="17"/>
  <c r="AF19" i="17"/>
  <c r="AE19" i="17"/>
  <c r="AD19" i="17"/>
  <c r="Z19" i="17"/>
  <c r="K19" i="17"/>
  <c r="AL19" i="17" s="1"/>
  <c r="BJ18" i="17"/>
  <c r="BF18" i="17"/>
  <c r="BD18" i="17"/>
  <c r="AP18" i="17"/>
  <c r="AX18" i="17" s="1"/>
  <c r="AO18" i="17"/>
  <c r="BH18" i="17" s="1"/>
  <c r="AB18" i="17" s="1"/>
  <c r="AK18" i="17"/>
  <c r="AJ18" i="17"/>
  <c r="AH18" i="17"/>
  <c r="AG18" i="17"/>
  <c r="AF18" i="17"/>
  <c r="AE18" i="17"/>
  <c r="AD18" i="17"/>
  <c r="Z18" i="17"/>
  <c r="K18" i="17"/>
  <c r="AL18" i="17" s="1"/>
  <c r="BJ17" i="17"/>
  <c r="BF17" i="17"/>
  <c r="BD17" i="17"/>
  <c r="AP17" i="17"/>
  <c r="BI17" i="17" s="1"/>
  <c r="AC17" i="17" s="1"/>
  <c r="AO17" i="17"/>
  <c r="AW17" i="17" s="1"/>
  <c r="AK17" i="17"/>
  <c r="AJ17" i="17"/>
  <c r="AH17" i="17"/>
  <c r="AG17" i="17"/>
  <c r="AF17" i="17"/>
  <c r="AE17" i="17"/>
  <c r="AD17" i="17"/>
  <c r="Z17" i="17"/>
  <c r="K17" i="17"/>
  <c r="AL17" i="17" s="1"/>
  <c r="BJ16" i="17"/>
  <c r="BF16" i="17"/>
  <c r="BD16" i="17"/>
  <c r="AP16" i="17"/>
  <c r="AX16" i="17" s="1"/>
  <c r="AO16" i="17"/>
  <c r="BH16" i="17" s="1"/>
  <c r="AB16" i="17" s="1"/>
  <c r="AK16" i="17"/>
  <c r="AJ16" i="17"/>
  <c r="AH16" i="17"/>
  <c r="AG16" i="17"/>
  <c r="AF16" i="17"/>
  <c r="AE16" i="17"/>
  <c r="AD16" i="17"/>
  <c r="Z16" i="17"/>
  <c r="K16" i="17"/>
  <c r="BJ15" i="17"/>
  <c r="BF15" i="17"/>
  <c r="BD15" i="17"/>
  <c r="AP15" i="17"/>
  <c r="BI15" i="17" s="1"/>
  <c r="AC15" i="17" s="1"/>
  <c r="AO15" i="17"/>
  <c r="AW15" i="17" s="1"/>
  <c r="AK15" i="17"/>
  <c r="AJ15" i="17"/>
  <c r="AH15" i="17"/>
  <c r="AG15" i="17"/>
  <c r="AF15" i="17"/>
  <c r="AE15" i="17"/>
  <c r="AD15" i="17"/>
  <c r="Z15" i="17"/>
  <c r="K15" i="17"/>
  <c r="AL15" i="17" s="1"/>
  <c r="BJ33" i="17"/>
  <c r="BF33" i="17"/>
  <c r="BD33" i="17"/>
  <c r="AP33" i="17"/>
  <c r="AX33" i="17" s="1"/>
  <c r="AO33" i="17"/>
  <c r="BH33" i="17" s="1"/>
  <c r="AB33" i="17" s="1"/>
  <c r="AK33" i="17"/>
  <c r="AJ33" i="17"/>
  <c r="AH33" i="17"/>
  <c r="AG33" i="17"/>
  <c r="AF33" i="17"/>
  <c r="AE33" i="17"/>
  <c r="AD33" i="17"/>
  <c r="Z33" i="17"/>
  <c r="K33" i="17"/>
  <c r="AL33" i="17" s="1"/>
  <c r="BJ14" i="17"/>
  <c r="BF14" i="17"/>
  <c r="BD14" i="17"/>
  <c r="AP14" i="17"/>
  <c r="AX14" i="17" s="1"/>
  <c r="AO14" i="17"/>
  <c r="BH14" i="17" s="1"/>
  <c r="AB14" i="17" s="1"/>
  <c r="AK14" i="17"/>
  <c r="AJ14" i="17"/>
  <c r="AH14" i="17"/>
  <c r="AG14" i="17"/>
  <c r="AF14" i="17"/>
  <c r="AE14" i="17"/>
  <c r="AD14" i="17"/>
  <c r="Z14" i="17"/>
  <c r="K14" i="17"/>
  <c r="C15" i="16" l="1"/>
  <c r="AL16" i="17"/>
  <c r="AL14" i="17"/>
  <c r="AW40" i="17"/>
  <c r="AX39" i="17"/>
  <c r="BC39" i="17" s="1"/>
  <c r="AW38" i="17"/>
  <c r="AX37" i="17"/>
  <c r="BC37" i="17" s="1"/>
  <c r="AW36" i="17"/>
  <c r="AX35" i="17"/>
  <c r="AV35" i="17" s="1"/>
  <c r="AW34" i="17"/>
  <c r="BC34" i="17" s="1"/>
  <c r="AW33" i="17"/>
  <c r="AV33" i="17" s="1"/>
  <c r="AW32" i="17"/>
  <c r="AX31" i="17"/>
  <c r="AW30" i="17"/>
  <c r="BC30" i="17" s="1"/>
  <c r="AX29" i="17"/>
  <c r="BC29" i="17" s="1"/>
  <c r="AW28" i="17"/>
  <c r="BI28" i="17"/>
  <c r="AC28" i="17" s="1"/>
  <c r="AW26" i="17"/>
  <c r="BC26" i="17" s="1"/>
  <c r="AX25" i="17"/>
  <c r="BC25" i="17" s="1"/>
  <c r="BI24" i="17"/>
  <c r="AC24" i="17" s="1"/>
  <c r="AW24" i="17"/>
  <c r="AX23" i="17"/>
  <c r="BC23" i="17" s="1"/>
  <c r="BC22" i="17"/>
  <c r="AW22" i="17"/>
  <c r="BC21" i="17"/>
  <c r="AX21" i="17"/>
  <c r="AW20" i="17"/>
  <c r="BI20" i="17"/>
  <c r="AC20" i="17" s="1"/>
  <c r="AX19" i="17"/>
  <c r="AW18" i="17"/>
  <c r="BC18" i="17" s="1"/>
  <c r="AX17" i="17"/>
  <c r="BC17" i="17" s="1"/>
  <c r="BI16" i="17"/>
  <c r="AC16" i="17" s="1"/>
  <c r="AW16" i="17"/>
  <c r="AW14" i="17"/>
  <c r="BC14" i="17" s="1"/>
  <c r="AX15" i="17"/>
  <c r="AV38" i="17"/>
  <c r="AV34" i="17"/>
  <c r="AV28" i="17"/>
  <c r="AV24" i="17"/>
  <c r="AV20" i="17"/>
  <c r="AV16" i="17"/>
  <c r="AV37" i="17"/>
  <c r="BC35" i="17"/>
  <c r="AV36" i="17"/>
  <c r="AV39" i="17"/>
  <c r="AV40" i="17"/>
  <c r="BI34" i="17"/>
  <c r="AC34" i="17" s="1"/>
  <c r="BH35" i="17"/>
  <c r="AB35" i="17" s="1"/>
  <c r="BC36" i="17"/>
  <c r="BI36" i="17"/>
  <c r="AC36" i="17" s="1"/>
  <c r="BH37" i="17"/>
  <c r="AB37" i="17" s="1"/>
  <c r="BC38" i="17"/>
  <c r="BI38" i="17"/>
  <c r="AC38" i="17" s="1"/>
  <c r="BH39" i="17"/>
  <c r="AB39" i="17" s="1"/>
  <c r="BC40" i="17"/>
  <c r="BI40" i="17"/>
  <c r="AC40" i="17" s="1"/>
  <c r="AV25" i="17"/>
  <c r="BH25" i="17"/>
  <c r="AB25" i="17" s="1"/>
  <c r="AV29" i="17"/>
  <c r="BH29" i="17"/>
  <c r="AB29" i="17" s="1"/>
  <c r="AV32" i="17"/>
  <c r="AV17" i="17"/>
  <c r="BH17" i="17"/>
  <c r="AB17" i="17" s="1"/>
  <c r="AV21" i="17"/>
  <c r="BH21" i="17"/>
  <c r="AB21" i="17" s="1"/>
  <c r="BC15" i="17"/>
  <c r="AV15" i="17"/>
  <c r="BH15" i="17"/>
  <c r="AB15" i="17" s="1"/>
  <c r="BC16" i="17"/>
  <c r="BI18" i="17"/>
  <c r="AC18" i="17" s="1"/>
  <c r="BC19" i="17"/>
  <c r="AV19" i="17"/>
  <c r="BH19" i="17"/>
  <c r="AB19" i="17" s="1"/>
  <c r="BC20" i="17"/>
  <c r="AV22" i="17"/>
  <c r="BI22" i="17"/>
  <c r="AC22" i="17" s="1"/>
  <c r="BH23" i="17"/>
  <c r="AB23" i="17" s="1"/>
  <c r="BC24" i="17"/>
  <c r="BI26" i="17"/>
  <c r="AC26" i="17" s="1"/>
  <c r="BC27" i="17"/>
  <c r="AV27" i="17"/>
  <c r="BH27" i="17"/>
  <c r="AB27" i="17" s="1"/>
  <c r="BC28" i="17"/>
  <c r="AV30" i="17"/>
  <c r="BI30" i="17"/>
  <c r="AC30" i="17" s="1"/>
  <c r="AW31" i="17"/>
  <c r="BH31" i="17"/>
  <c r="AB31" i="17" s="1"/>
  <c r="BC32" i="17"/>
  <c r="BI32" i="17"/>
  <c r="AC32" i="17" s="1"/>
  <c r="BC33" i="17"/>
  <c r="BI33" i="17"/>
  <c r="AC33" i="17" s="1"/>
  <c r="BI14" i="17"/>
  <c r="AC14" i="17" s="1"/>
  <c r="AV26" i="17" l="1"/>
  <c r="AV23" i="17"/>
  <c r="AV14" i="17"/>
  <c r="AV18" i="17"/>
  <c r="BC31" i="17"/>
  <c r="AV31" i="17"/>
  <c r="BF41" i="17" l="1"/>
  <c r="BD41" i="17"/>
  <c r="AP41" i="17"/>
  <c r="AO41" i="17"/>
  <c r="AK41" i="17"/>
  <c r="AT13" i="17" s="1"/>
  <c r="AJ41" i="17"/>
  <c r="AS13" i="17" s="1"/>
  <c r="AH41" i="17"/>
  <c r="AG41" i="17"/>
  <c r="AF41" i="17"/>
  <c r="AE41" i="17"/>
  <c r="AD41" i="17"/>
  <c r="Z41" i="17"/>
  <c r="K41" i="17"/>
  <c r="H8" i="17"/>
  <c r="F8" i="17"/>
  <c r="C8" i="17"/>
  <c r="H6" i="17"/>
  <c r="F6" i="17"/>
  <c r="C6" i="17"/>
  <c r="H4" i="17"/>
  <c r="F4" i="17"/>
  <c r="C4" i="17"/>
  <c r="H2" i="17"/>
  <c r="F2" i="17"/>
  <c r="C2" i="17"/>
  <c r="I22" i="16"/>
  <c r="F22" i="16"/>
  <c r="I10" i="16"/>
  <c r="F10" i="16"/>
  <c r="C10" i="16"/>
  <c r="F8" i="16"/>
  <c r="C8" i="16"/>
  <c r="F6" i="16"/>
  <c r="C6" i="16"/>
  <c r="F4" i="16"/>
  <c r="C4" i="16"/>
  <c r="F2" i="16"/>
  <c r="C2" i="16"/>
  <c r="AL41" i="17" l="1"/>
  <c r="AU13" i="17" s="1"/>
  <c r="C14" i="16"/>
  <c r="K13" i="17"/>
  <c r="BJ41" i="17"/>
  <c r="BI41" i="17"/>
  <c r="AC41" i="17" s="1"/>
  <c r="BH41" i="17"/>
  <c r="AB41" i="17" s="1"/>
  <c r="AX41" i="17"/>
  <c r="AW41" i="17"/>
  <c r="K141" i="4"/>
  <c r="I225" i="4"/>
  <c r="K12" i="17" l="1"/>
  <c r="K42" i="17"/>
  <c r="L17" i="2" s="1"/>
  <c r="P17" i="2" s="1"/>
  <c r="BC41" i="17"/>
  <c r="AV41" i="17"/>
  <c r="C2" i="1"/>
  <c r="F2" i="1"/>
  <c r="C4" i="1"/>
  <c r="F4" i="1"/>
  <c r="C6" i="1"/>
  <c r="F6" i="1"/>
  <c r="C8" i="1"/>
  <c r="F8" i="1"/>
  <c r="C10" i="1"/>
  <c r="F10" i="1"/>
  <c r="I10" i="1"/>
  <c r="C18" i="1"/>
  <c r="C19" i="1"/>
  <c r="F22" i="1"/>
  <c r="I22" i="1"/>
  <c r="F23" i="1"/>
  <c r="I23" i="1"/>
  <c r="I25" i="1"/>
  <c r="C27" i="1"/>
  <c r="C28" i="1"/>
  <c r="F28" i="1"/>
  <c r="C2" i="3"/>
  <c r="F2" i="3"/>
  <c r="C4" i="3"/>
  <c r="F4" i="3"/>
  <c r="C6" i="3"/>
  <c r="F6" i="3"/>
  <c r="C8" i="3"/>
  <c r="F8" i="3"/>
  <c r="C10" i="3"/>
  <c r="F10" i="3"/>
  <c r="I10" i="3"/>
  <c r="F22" i="3"/>
  <c r="I22" i="3"/>
  <c r="C2" i="5"/>
  <c r="F2" i="5"/>
  <c r="C4" i="5"/>
  <c r="F4" i="5"/>
  <c r="C6" i="5"/>
  <c r="F6" i="5"/>
  <c r="C8" i="5"/>
  <c r="F8" i="5"/>
  <c r="C10" i="5"/>
  <c r="F10" i="5"/>
  <c r="I10" i="5"/>
  <c r="F22" i="5"/>
  <c r="I22" i="5"/>
  <c r="C2" i="7"/>
  <c r="F2" i="7"/>
  <c r="C4" i="7"/>
  <c r="F4" i="7"/>
  <c r="C6" i="7"/>
  <c r="F6" i="7"/>
  <c r="C8" i="7"/>
  <c r="F8" i="7"/>
  <c r="C10" i="7"/>
  <c r="F10" i="7"/>
  <c r="I10" i="7"/>
  <c r="F22" i="7"/>
  <c r="I22" i="7"/>
  <c r="C2" i="9"/>
  <c r="F2" i="9"/>
  <c r="C4" i="9"/>
  <c r="F4" i="9"/>
  <c r="C6" i="9"/>
  <c r="F6" i="9"/>
  <c r="C8" i="9"/>
  <c r="F8" i="9"/>
  <c r="C10" i="9"/>
  <c r="F10" i="9"/>
  <c r="I10" i="9"/>
  <c r="F22" i="9"/>
  <c r="I22" i="9"/>
  <c r="C2" i="11"/>
  <c r="F2" i="11"/>
  <c r="C4" i="11"/>
  <c r="F4" i="11"/>
  <c r="C6" i="11"/>
  <c r="F6" i="11"/>
  <c r="C8" i="11"/>
  <c r="F8" i="11"/>
  <c r="C10" i="11"/>
  <c r="F10" i="11"/>
  <c r="I10" i="11"/>
  <c r="F22" i="11"/>
  <c r="I22" i="11"/>
  <c r="C2" i="13"/>
  <c r="F2" i="13"/>
  <c r="C4" i="13"/>
  <c r="F4" i="13"/>
  <c r="C6" i="13"/>
  <c r="F6" i="13"/>
  <c r="C8" i="13"/>
  <c r="F8" i="13"/>
  <c r="C10" i="13"/>
  <c r="F10" i="13"/>
  <c r="I10" i="13"/>
  <c r="F22" i="13"/>
  <c r="I22" i="13"/>
  <c r="D2" i="2"/>
  <c r="H2" i="2"/>
  <c r="J2" i="2"/>
  <c r="D4" i="2"/>
  <c r="H4" i="2"/>
  <c r="J4" i="2"/>
  <c r="D6" i="2"/>
  <c r="H6" i="2"/>
  <c r="J6" i="2"/>
  <c r="D8" i="2"/>
  <c r="H8" i="2"/>
  <c r="J8" i="2"/>
  <c r="N12" i="2"/>
  <c r="N13" i="2"/>
  <c r="N14" i="2"/>
  <c r="N15" i="2"/>
  <c r="N16" i="2"/>
  <c r="N18" i="2"/>
  <c r="K12" i="15"/>
  <c r="K13" i="15"/>
  <c r="AS13" i="15"/>
  <c r="AT13" i="15"/>
  <c r="AU13" i="15"/>
  <c r="K14" i="15"/>
  <c r="Z14" i="15"/>
  <c r="AB14" i="15"/>
  <c r="AC14" i="15"/>
  <c r="AD14" i="15"/>
  <c r="AE14" i="15"/>
  <c r="AF14" i="15"/>
  <c r="AG14" i="15"/>
  <c r="AH14" i="15"/>
  <c r="AJ14" i="15"/>
  <c r="AK14" i="15"/>
  <c r="AL14" i="15"/>
  <c r="AO14" i="15"/>
  <c r="AP14" i="15"/>
  <c r="AV14" i="15"/>
  <c r="AW14" i="15"/>
  <c r="AX14" i="15"/>
  <c r="BC14" i="15"/>
  <c r="BD14" i="15"/>
  <c r="BF14" i="15"/>
  <c r="BH14" i="15"/>
  <c r="BI14" i="15"/>
  <c r="BJ14" i="15"/>
  <c r="K16" i="15"/>
  <c r="AS16" i="15"/>
  <c r="AT16" i="15"/>
  <c r="AU16" i="15"/>
  <c r="K17" i="15"/>
  <c r="Z17" i="15"/>
  <c r="AB17" i="15"/>
  <c r="AC17" i="15"/>
  <c r="AD17" i="15"/>
  <c r="AE17" i="15"/>
  <c r="AF17" i="15"/>
  <c r="AG17" i="15"/>
  <c r="AH17" i="15"/>
  <c r="AJ17" i="15"/>
  <c r="AK17" i="15"/>
  <c r="AL17" i="15"/>
  <c r="AO17" i="15"/>
  <c r="AP17" i="15"/>
  <c r="AV17" i="15"/>
  <c r="AW17" i="15"/>
  <c r="AX17" i="15"/>
  <c r="BC17" i="15"/>
  <c r="BD17" i="15"/>
  <c r="BF17" i="15"/>
  <c r="BH17" i="15"/>
  <c r="BI17" i="15"/>
  <c r="BJ17" i="15"/>
  <c r="K19" i="15"/>
  <c r="AS19" i="15"/>
  <c r="AT19" i="15"/>
  <c r="AU19" i="15"/>
  <c r="K20" i="15"/>
  <c r="Z20" i="15"/>
  <c r="AB20" i="15"/>
  <c r="AC20" i="15"/>
  <c r="AD20" i="15"/>
  <c r="AE20" i="15"/>
  <c r="AF20" i="15"/>
  <c r="AG20" i="15"/>
  <c r="AH20" i="15"/>
  <c r="AJ20" i="15"/>
  <c r="AK20" i="15"/>
  <c r="AL20" i="15"/>
  <c r="AO20" i="15"/>
  <c r="AP20" i="15"/>
  <c r="AV20" i="15"/>
  <c r="AW20" i="15"/>
  <c r="AX20" i="15"/>
  <c r="BC20" i="15"/>
  <c r="BD20" i="15"/>
  <c r="BF20" i="15"/>
  <c r="BH20" i="15"/>
  <c r="BI20" i="15"/>
  <c r="BJ20" i="15"/>
  <c r="K25" i="15"/>
  <c r="AS25" i="15"/>
  <c r="AT25" i="15"/>
  <c r="AU25" i="15"/>
  <c r="K26" i="15"/>
  <c r="Z26" i="15"/>
  <c r="AB26" i="15"/>
  <c r="AC26" i="15"/>
  <c r="AD26" i="15"/>
  <c r="AE26" i="15"/>
  <c r="AF26" i="15"/>
  <c r="AG26" i="15"/>
  <c r="AH26" i="15"/>
  <c r="AJ26" i="15"/>
  <c r="AK26" i="15"/>
  <c r="AL26" i="15"/>
  <c r="AO26" i="15"/>
  <c r="AP26" i="15"/>
  <c r="AV26" i="15"/>
  <c r="AW26" i="15"/>
  <c r="AX26" i="15"/>
  <c r="BC26" i="15"/>
  <c r="BD26" i="15"/>
  <c r="BF26" i="15"/>
  <c r="BH26" i="15"/>
  <c r="BI26" i="15"/>
  <c r="BJ26" i="15"/>
  <c r="K28" i="15"/>
  <c r="AS28" i="15"/>
  <c r="AT28" i="15"/>
  <c r="AU28" i="15"/>
  <c r="K29" i="15"/>
  <c r="Z29" i="15"/>
  <c r="AB29" i="15"/>
  <c r="AC29" i="15"/>
  <c r="AD29" i="15"/>
  <c r="AE29" i="15"/>
  <c r="AF29" i="15"/>
  <c r="AG29" i="15"/>
  <c r="AH29" i="15"/>
  <c r="AJ29" i="15"/>
  <c r="AK29" i="15"/>
  <c r="AL29" i="15"/>
  <c r="AO29" i="15"/>
  <c r="AP29" i="15"/>
  <c r="AV29" i="15"/>
  <c r="AW29" i="15"/>
  <c r="AX29" i="15"/>
  <c r="BC29" i="15"/>
  <c r="BD29" i="15"/>
  <c r="BF29" i="15"/>
  <c r="BH29" i="15"/>
  <c r="BI29" i="15"/>
  <c r="BJ29" i="15"/>
  <c r="K34" i="15"/>
  <c r="Z34" i="15"/>
  <c r="AB34" i="15"/>
  <c r="AC34" i="15"/>
  <c r="AD34" i="15"/>
  <c r="AE34" i="15"/>
  <c r="AF34" i="15"/>
  <c r="AG34" i="15"/>
  <c r="AH34" i="15"/>
  <c r="AJ34" i="15"/>
  <c r="AK34" i="15"/>
  <c r="AL34" i="15"/>
  <c r="AO34" i="15"/>
  <c r="AP34" i="15"/>
  <c r="AV34" i="15"/>
  <c r="AW34" i="15"/>
  <c r="AX34" i="15"/>
  <c r="BC34" i="15"/>
  <c r="BD34" i="15"/>
  <c r="BF34" i="15"/>
  <c r="BH34" i="15"/>
  <c r="BI34" i="15"/>
  <c r="BJ34" i="15"/>
  <c r="K39" i="15"/>
  <c r="Z39" i="15"/>
  <c r="AB39" i="15"/>
  <c r="AC39" i="15"/>
  <c r="AD39" i="15"/>
  <c r="AE39" i="15"/>
  <c r="AF39" i="15"/>
  <c r="AG39" i="15"/>
  <c r="AH39" i="15"/>
  <c r="AJ39" i="15"/>
  <c r="AK39" i="15"/>
  <c r="AL39" i="15"/>
  <c r="AO39" i="15"/>
  <c r="AP39" i="15"/>
  <c r="AV39" i="15"/>
  <c r="AW39" i="15"/>
  <c r="AX39" i="15"/>
  <c r="BC39" i="15"/>
  <c r="BD39" i="15"/>
  <c r="BF39" i="15"/>
  <c r="BH39" i="15"/>
  <c r="BI39" i="15"/>
  <c r="BJ39" i="15"/>
  <c r="K46" i="15"/>
  <c r="Z46" i="15"/>
  <c r="AB46" i="15"/>
  <c r="AC46" i="15"/>
  <c r="AD46" i="15"/>
  <c r="AE46" i="15"/>
  <c r="AF46" i="15"/>
  <c r="AG46" i="15"/>
  <c r="AH46" i="15"/>
  <c r="AJ46" i="15"/>
  <c r="AK46" i="15"/>
  <c r="AL46" i="15"/>
  <c r="AO46" i="15"/>
  <c r="AP46" i="15"/>
  <c r="AV46" i="15"/>
  <c r="AW46" i="15"/>
  <c r="AX46" i="15"/>
  <c r="BC46" i="15"/>
  <c r="BD46" i="15"/>
  <c r="BF46" i="15"/>
  <c r="BH46" i="15"/>
  <c r="BI46" i="15"/>
  <c r="BJ46" i="15"/>
  <c r="K48" i="15"/>
  <c r="Z48" i="15"/>
  <c r="AB48" i="15"/>
  <c r="AC48" i="15"/>
  <c r="AD48" i="15"/>
  <c r="AE48" i="15"/>
  <c r="AF48" i="15"/>
  <c r="AG48" i="15"/>
  <c r="AH48" i="15"/>
  <c r="AJ48" i="15"/>
  <c r="AK48" i="15"/>
  <c r="AL48" i="15"/>
  <c r="AO48" i="15"/>
  <c r="AP48" i="15"/>
  <c r="AV48" i="15"/>
  <c r="AW48" i="15"/>
  <c r="AX48" i="15"/>
  <c r="BC48" i="15"/>
  <c r="BD48" i="15"/>
  <c r="BF48" i="15"/>
  <c r="BH48" i="15"/>
  <c r="BI48" i="15"/>
  <c r="BJ48" i="15"/>
  <c r="K49" i="15"/>
  <c r="AS49" i="15"/>
  <c r="AT49" i="15"/>
  <c r="AU49" i="15"/>
  <c r="K50" i="15"/>
  <c r="Z50" i="15"/>
  <c r="AB50" i="15"/>
  <c r="AC50" i="15"/>
  <c r="AD50" i="15"/>
  <c r="AE50" i="15"/>
  <c r="AF50" i="15"/>
  <c r="AG50" i="15"/>
  <c r="AH50" i="15"/>
  <c r="AJ50" i="15"/>
  <c r="AK50" i="15"/>
  <c r="AL50" i="15"/>
  <c r="AO50" i="15"/>
  <c r="AP50" i="15"/>
  <c r="AV50" i="15"/>
  <c r="AW50" i="15"/>
  <c r="AX50" i="15"/>
  <c r="BC50" i="15"/>
  <c r="BD50" i="15"/>
  <c r="BF50" i="15"/>
  <c r="BH50" i="15"/>
  <c r="BI50" i="15"/>
  <c r="BJ50" i="15"/>
  <c r="K55" i="15"/>
  <c r="Z55" i="15"/>
  <c r="AB55" i="15"/>
  <c r="AC55" i="15"/>
  <c r="AD55" i="15"/>
  <c r="AE55" i="15"/>
  <c r="AF55" i="15"/>
  <c r="AG55" i="15"/>
  <c r="AH55" i="15"/>
  <c r="AJ55" i="15"/>
  <c r="AK55" i="15"/>
  <c r="AL55" i="15"/>
  <c r="AO55" i="15"/>
  <c r="AP55" i="15"/>
  <c r="AV55" i="15"/>
  <c r="AW55" i="15"/>
  <c r="AX55" i="15"/>
  <c r="BC55" i="15"/>
  <c r="BD55" i="15"/>
  <c r="BF55" i="15"/>
  <c r="BH55" i="15"/>
  <c r="BI55" i="15"/>
  <c r="BJ55" i="15"/>
  <c r="K58" i="15"/>
  <c r="Z58" i="15"/>
  <c r="AB58" i="15"/>
  <c r="AC58" i="15"/>
  <c r="AD58" i="15"/>
  <c r="AE58" i="15"/>
  <c r="AF58" i="15"/>
  <c r="AG58" i="15"/>
  <c r="AH58" i="15"/>
  <c r="AJ58" i="15"/>
  <c r="AK58" i="15"/>
  <c r="AL58" i="15"/>
  <c r="AO58" i="15"/>
  <c r="AP58" i="15"/>
  <c r="AV58" i="15"/>
  <c r="AW58" i="15"/>
  <c r="AX58" i="15"/>
  <c r="BC58" i="15"/>
  <c r="BD58" i="15"/>
  <c r="BF58" i="15"/>
  <c r="BH58" i="15"/>
  <c r="BI58" i="15"/>
  <c r="BJ58" i="15"/>
  <c r="K61" i="15"/>
  <c r="Z61" i="15"/>
  <c r="AB61" i="15"/>
  <c r="AC61" i="15"/>
  <c r="AD61" i="15"/>
  <c r="AE61" i="15"/>
  <c r="AF61" i="15"/>
  <c r="AG61" i="15"/>
  <c r="AH61" i="15"/>
  <c r="AJ61" i="15"/>
  <c r="AK61" i="15"/>
  <c r="AL61" i="15"/>
  <c r="AO61" i="15"/>
  <c r="AP61" i="15"/>
  <c r="AV61" i="15"/>
  <c r="AW61" i="15"/>
  <c r="AX61" i="15"/>
  <c r="BC61" i="15"/>
  <c r="BD61" i="15"/>
  <c r="BF61" i="15"/>
  <c r="BH61" i="15"/>
  <c r="BI61" i="15"/>
  <c r="BJ61" i="15"/>
  <c r="K63" i="15"/>
  <c r="Z63" i="15"/>
  <c r="AB63" i="15"/>
  <c r="AC63" i="15"/>
  <c r="AD63" i="15"/>
  <c r="AE63" i="15"/>
  <c r="AF63" i="15"/>
  <c r="AG63" i="15"/>
  <c r="AH63" i="15"/>
  <c r="AJ63" i="15"/>
  <c r="AK63" i="15"/>
  <c r="AL63" i="15"/>
  <c r="AO63" i="15"/>
  <c r="AP63" i="15"/>
  <c r="AV63" i="15"/>
  <c r="AW63" i="15"/>
  <c r="AX63" i="15"/>
  <c r="BC63" i="15"/>
  <c r="BD63" i="15"/>
  <c r="BF63" i="15"/>
  <c r="BH63" i="15"/>
  <c r="BI63" i="15"/>
  <c r="BJ63" i="15"/>
  <c r="K65" i="15"/>
  <c r="Z65" i="15"/>
  <c r="AB65" i="15"/>
  <c r="AC65" i="15"/>
  <c r="AD65" i="15"/>
  <c r="AE65" i="15"/>
  <c r="AF65" i="15"/>
  <c r="AG65" i="15"/>
  <c r="AH65" i="15"/>
  <c r="AJ65" i="15"/>
  <c r="AK65" i="15"/>
  <c r="AL65" i="15"/>
  <c r="AO65" i="15"/>
  <c r="AP65" i="15"/>
  <c r="AV65" i="15"/>
  <c r="AW65" i="15"/>
  <c r="AX65" i="15"/>
  <c r="BC65" i="15"/>
  <c r="BD65" i="15"/>
  <c r="BF65" i="15"/>
  <c r="BH65" i="15"/>
  <c r="BI65" i="15"/>
  <c r="BJ65" i="15"/>
  <c r="K67" i="15"/>
  <c r="Z67" i="15"/>
  <c r="AB67" i="15"/>
  <c r="AC67" i="15"/>
  <c r="AD67" i="15"/>
  <c r="AE67" i="15"/>
  <c r="AF67" i="15"/>
  <c r="AG67" i="15"/>
  <c r="AH67" i="15"/>
  <c r="AJ67" i="15"/>
  <c r="AK67" i="15"/>
  <c r="AL67" i="15"/>
  <c r="AO67" i="15"/>
  <c r="AP67" i="15"/>
  <c r="AV67" i="15"/>
  <c r="AW67" i="15"/>
  <c r="AX67" i="15"/>
  <c r="BC67" i="15"/>
  <c r="BD67" i="15"/>
  <c r="BF67" i="15"/>
  <c r="BH67" i="15"/>
  <c r="BI67" i="15"/>
  <c r="BJ67" i="15"/>
  <c r="K69" i="15"/>
  <c r="Z69" i="15"/>
  <c r="AB69" i="15"/>
  <c r="AC69" i="15"/>
  <c r="AD69" i="15"/>
  <c r="AE69" i="15"/>
  <c r="AF69" i="15"/>
  <c r="AG69" i="15"/>
  <c r="AH69" i="15"/>
  <c r="AJ69" i="15"/>
  <c r="AK69" i="15"/>
  <c r="AL69" i="15"/>
  <c r="AO69" i="15"/>
  <c r="AP69" i="15"/>
  <c r="AV69" i="15"/>
  <c r="AW69" i="15"/>
  <c r="AX69" i="15"/>
  <c r="BC69" i="15"/>
  <c r="BD69" i="15"/>
  <c r="BF69" i="15"/>
  <c r="BH69" i="15"/>
  <c r="BI69" i="15"/>
  <c r="BJ69" i="15"/>
  <c r="K72" i="15"/>
  <c r="Z72" i="15"/>
  <c r="AB72" i="15"/>
  <c r="AC72" i="15"/>
  <c r="AD72" i="15"/>
  <c r="AE72" i="15"/>
  <c r="AF72" i="15"/>
  <c r="AG72" i="15"/>
  <c r="AH72" i="15"/>
  <c r="AJ72" i="15"/>
  <c r="AK72" i="15"/>
  <c r="AL72" i="15"/>
  <c r="AO72" i="15"/>
  <c r="AP72" i="15"/>
  <c r="AV72" i="15"/>
  <c r="AW72" i="15"/>
  <c r="AX72" i="15"/>
  <c r="BC72" i="15"/>
  <c r="BD72" i="15"/>
  <c r="BF72" i="15"/>
  <c r="BH72" i="15"/>
  <c r="BI72" i="15"/>
  <c r="BJ72" i="15"/>
  <c r="K74" i="15"/>
  <c r="Z74" i="15"/>
  <c r="AB74" i="15"/>
  <c r="AC74" i="15"/>
  <c r="AD74" i="15"/>
  <c r="AE74" i="15"/>
  <c r="AF74" i="15"/>
  <c r="AG74" i="15"/>
  <c r="AH74" i="15"/>
  <c r="AJ74" i="15"/>
  <c r="AK74" i="15"/>
  <c r="AL74" i="15"/>
  <c r="AO74" i="15"/>
  <c r="AP74" i="15"/>
  <c r="AV74" i="15"/>
  <c r="AW74" i="15"/>
  <c r="AX74" i="15"/>
  <c r="BC74" i="15"/>
  <c r="BD74" i="15"/>
  <c r="BF74" i="15"/>
  <c r="BH74" i="15"/>
  <c r="BI74" i="15"/>
  <c r="BJ74" i="15"/>
  <c r="K76" i="15"/>
  <c r="Z76" i="15"/>
  <c r="AB76" i="15"/>
  <c r="AC76" i="15"/>
  <c r="AD76" i="15"/>
  <c r="AE76" i="15"/>
  <c r="AF76" i="15"/>
  <c r="AG76" i="15"/>
  <c r="AH76" i="15"/>
  <c r="AJ76" i="15"/>
  <c r="AK76" i="15"/>
  <c r="AL76" i="15"/>
  <c r="AO76" i="15"/>
  <c r="AP76" i="15"/>
  <c r="AV76" i="15"/>
  <c r="AW76" i="15"/>
  <c r="AX76" i="15"/>
  <c r="BC76" i="15"/>
  <c r="BD76" i="15"/>
  <c r="BF76" i="15"/>
  <c r="BH76" i="15"/>
  <c r="BI76" i="15"/>
  <c r="BJ76" i="15"/>
  <c r="K78" i="15"/>
  <c r="Z78" i="15"/>
  <c r="AB78" i="15"/>
  <c r="AC78" i="15"/>
  <c r="AD78" i="15"/>
  <c r="AE78" i="15"/>
  <c r="AF78" i="15"/>
  <c r="AG78" i="15"/>
  <c r="AH78" i="15"/>
  <c r="AJ78" i="15"/>
  <c r="AK78" i="15"/>
  <c r="AL78" i="15"/>
  <c r="AO78" i="15"/>
  <c r="AP78" i="15"/>
  <c r="AV78" i="15"/>
  <c r="AW78" i="15"/>
  <c r="AX78" i="15"/>
  <c r="BC78" i="15"/>
  <c r="BD78" i="15"/>
  <c r="BF78" i="15"/>
  <c r="BH78" i="15"/>
  <c r="BI78" i="15"/>
  <c r="BJ78" i="15"/>
  <c r="K80" i="15"/>
  <c r="Z80" i="15"/>
  <c r="AB80" i="15"/>
  <c r="AC80" i="15"/>
  <c r="AD80" i="15"/>
  <c r="AE80" i="15"/>
  <c r="AF80" i="15"/>
  <c r="AG80" i="15"/>
  <c r="AH80" i="15"/>
  <c r="AJ80" i="15"/>
  <c r="AK80" i="15"/>
  <c r="AL80" i="15"/>
  <c r="AO80" i="15"/>
  <c r="AP80" i="15"/>
  <c r="AV80" i="15"/>
  <c r="AW80" i="15"/>
  <c r="AX80" i="15"/>
  <c r="BC80" i="15"/>
  <c r="BD80" i="15"/>
  <c r="BF80" i="15"/>
  <c r="BH80" i="15"/>
  <c r="BI80" i="15"/>
  <c r="BJ80" i="15"/>
  <c r="K83" i="15"/>
  <c r="AS83" i="15"/>
  <c r="AT83" i="15"/>
  <c r="AU83" i="15"/>
  <c r="K84" i="15"/>
  <c r="Z84" i="15"/>
  <c r="AB84" i="15"/>
  <c r="AC84" i="15"/>
  <c r="AD84" i="15"/>
  <c r="AE84" i="15"/>
  <c r="AF84" i="15"/>
  <c r="AG84" i="15"/>
  <c r="AH84" i="15"/>
  <c r="AJ84" i="15"/>
  <c r="AK84" i="15"/>
  <c r="AL84" i="15"/>
  <c r="AO84" i="15"/>
  <c r="AP84" i="15"/>
  <c r="AV84" i="15"/>
  <c r="AW84" i="15"/>
  <c r="AX84" i="15"/>
  <c r="BC84" i="15"/>
  <c r="BD84" i="15"/>
  <c r="BF84" i="15"/>
  <c r="BH84" i="15"/>
  <c r="BI84" i="15"/>
  <c r="BJ84" i="15"/>
  <c r="K92" i="15"/>
  <c r="Z92" i="15"/>
  <c r="AB92" i="15"/>
  <c r="AC92" i="15"/>
  <c r="AD92" i="15"/>
  <c r="AE92" i="15"/>
  <c r="AF92" i="15"/>
  <c r="AG92" i="15"/>
  <c r="AH92" i="15"/>
  <c r="AJ92" i="15"/>
  <c r="AK92" i="15"/>
  <c r="AL92" i="15"/>
  <c r="AO92" i="15"/>
  <c r="AP92" i="15"/>
  <c r="AV92" i="15"/>
  <c r="AW92" i="15"/>
  <c r="AX92" i="15"/>
  <c r="BC92" i="15"/>
  <c r="BD92" i="15"/>
  <c r="BF92" i="15"/>
  <c r="BH92" i="15"/>
  <c r="BI92" i="15"/>
  <c r="BJ92" i="15"/>
  <c r="K96" i="15"/>
  <c r="Z96" i="15"/>
  <c r="AB96" i="15"/>
  <c r="AC96" i="15"/>
  <c r="AD96" i="15"/>
  <c r="AE96" i="15"/>
  <c r="AF96" i="15"/>
  <c r="AG96" i="15"/>
  <c r="AH96" i="15"/>
  <c r="AJ96" i="15"/>
  <c r="AK96" i="15"/>
  <c r="AL96" i="15"/>
  <c r="AO96" i="15"/>
  <c r="AP96" i="15"/>
  <c r="AV96" i="15"/>
  <c r="AW96" i="15"/>
  <c r="AX96" i="15"/>
  <c r="BC96" i="15"/>
  <c r="BD96" i="15"/>
  <c r="BF96" i="15"/>
  <c r="BH96" i="15"/>
  <c r="BI96" i="15"/>
  <c r="BJ96" i="15"/>
  <c r="K101" i="15"/>
  <c r="Z101" i="15"/>
  <c r="AB101" i="15"/>
  <c r="AC101" i="15"/>
  <c r="AD101" i="15"/>
  <c r="AE101" i="15"/>
  <c r="AF101" i="15"/>
  <c r="AG101" i="15"/>
  <c r="AH101" i="15"/>
  <c r="AJ101" i="15"/>
  <c r="AK101" i="15"/>
  <c r="AL101" i="15"/>
  <c r="AO101" i="15"/>
  <c r="AP101" i="15"/>
  <c r="AV101" i="15"/>
  <c r="AW101" i="15"/>
  <c r="AX101" i="15"/>
  <c r="BC101" i="15"/>
  <c r="BD101" i="15"/>
  <c r="BF101" i="15"/>
  <c r="BH101" i="15"/>
  <c r="BI101" i="15"/>
  <c r="BJ101" i="15"/>
  <c r="K106" i="15"/>
  <c r="AS106" i="15"/>
  <c r="AT106" i="15"/>
  <c r="AU106" i="15"/>
  <c r="K107" i="15"/>
  <c r="Z107" i="15"/>
  <c r="AB107" i="15"/>
  <c r="AC107" i="15"/>
  <c r="AD107" i="15"/>
  <c r="AE107" i="15"/>
  <c r="AF107" i="15"/>
  <c r="AG107" i="15"/>
  <c r="AH107" i="15"/>
  <c r="AJ107" i="15"/>
  <c r="AK107" i="15"/>
  <c r="AL107" i="15"/>
  <c r="AO107" i="15"/>
  <c r="AP107" i="15"/>
  <c r="AV107" i="15"/>
  <c r="AW107" i="15"/>
  <c r="AX107" i="15"/>
  <c r="BC107" i="15"/>
  <c r="BD107" i="15"/>
  <c r="BF107" i="15"/>
  <c r="BH107" i="15"/>
  <c r="BI107" i="15"/>
  <c r="BJ107" i="15"/>
  <c r="K110" i="15"/>
  <c r="Z110" i="15"/>
  <c r="AB110" i="15"/>
  <c r="AC110" i="15"/>
  <c r="AD110" i="15"/>
  <c r="AE110" i="15"/>
  <c r="AF110" i="15"/>
  <c r="AG110" i="15"/>
  <c r="AH110" i="15"/>
  <c r="AJ110" i="15"/>
  <c r="AK110" i="15"/>
  <c r="AL110" i="15"/>
  <c r="AO110" i="15"/>
  <c r="AP110" i="15"/>
  <c r="AV110" i="15"/>
  <c r="AW110" i="15"/>
  <c r="AX110" i="15"/>
  <c r="BC110" i="15"/>
  <c r="BD110" i="15"/>
  <c r="BF110" i="15"/>
  <c r="BH110" i="15"/>
  <c r="BI110" i="15"/>
  <c r="BJ110" i="15"/>
  <c r="K113" i="15"/>
  <c r="Z113" i="15"/>
  <c r="AB113" i="15"/>
  <c r="AC113" i="15"/>
  <c r="AD113" i="15"/>
  <c r="AE113" i="15"/>
  <c r="AF113" i="15"/>
  <c r="AG113" i="15"/>
  <c r="AH113" i="15"/>
  <c r="AJ113" i="15"/>
  <c r="AK113" i="15"/>
  <c r="AL113" i="15"/>
  <c r="AO113" i="15"/>
  <c r="AP113" i="15"/>
  <c r="AV113" i="15"/>
  <c r="AW113" i="15"/>
  <c r="AX113" i="15"/>
  <c r="BC113" i="15"/>
  <c r="BD113" i="15"/>
  <c r="BF113" i="15"/>
  <c r="BH113" i="15"/>
  <c r="BI113" i="15"/>
  <c r="BJ113" i="15"/>
  <c r="K116" i="15"/>
  <c r="Z116" i="15"/>
  <c r="AB116" i="15"/>
  <c r="AC116" i="15"/>
  <c r="AD116" i="15"/>
  <c r="AE116" i="15"/>
  <c r="AF116" i="15"/>
  <c r="AG116" i="15"/>
  <c r="AH116" i="15"/>
  <c r="AJ116" i="15"/>
  <c r="AK116" i="15"/>
  <c r="AL116" i="15"/>
  <c r="AO116" i="15"/>
  <c r="AP116" i="15"/>
  <c r="AV116" i="15"/>
  <c r="AW116" i="15"/>
  <c r="AX116" i="15"/>
  <c r="BC116" i="15"/>
  <c r="BD116" i="15"/>
  <c r="BF116" i="15"/>
  <c r="BH116" i="15"/>
  <c r="BI116" i="15"/>
  <c r="BJ116" i="15"/>
  <c r="K118" i="15"/>
  <c r="Z118" i="15"/>
  <c r="AB118" i="15"/>
  <c r="AC118" i="15"/>
  <c r="AD118" i="15"/>
  <c r="AE118" i="15"/>
  <c r="AF118" i="15"/>
  <c r="AG118" i="15"/>
  <c r="AH118" i="15"/>
  <c r="AJ118" i="15"/>
  <c r="AK118" i="15"/>
  <c r="AL118" i="15"/>
  <c r="AO118" i="15"/>
  <c r="AP118" i="15"/>
  <c r="AV118" i="15"/>
  <c r="AW118" i="15"/>
  <c r="AX118" i="15"/>
  <c r="BC118" i="15"/>
  <c r="BD118" i="15"/>
  <c r="BF118" i="15"/>
  <c r="BH118" i="15"/>
  <c r="BI118" i="15"/>
  <c r="BJ118" i="15"/>
  <c r="K119" i="15"/>
  <c r="Z119" i="15"/>
  <c r="AB119" i="15"/>
  <c r="AC119" i="15"/>
  <c r="AD119" i="15"/>
  <c r="AE119" i="15"/>
  <c r="AF119" i="15"/>
  <c r="AG119" i="15"/>
  <c r="AH119" i="15"/>
  <c r="AJ119" i="15"/>
  <c r="AK119" i="15"/>
  <c r="AL119" i="15"/>
  <c r="AO119" i="15"/>
  <c r="AP119" i="15"/>
  <c r="AV119" i="15"/>
  <c r="AW119" i="15"/>
  <c r="AX119" i="15"/>
  <c r="BC119" i="15"/>
  <c r="BD119" i="15"/>
  <c r="BF119" i="15"/>
  <c r="BH119" i="15"/>
  <c r="BI119" i="15"/>
  <c r="BJ119" i="15"/>
  <c r="K121" i="15"/>
  <c r="AS121" i="15"/>
  <c r="AT121" i="15"/>
  <c r="AU121" i="15"/>
  <c r="K122" i="15"/>
  <c r="Z122" i="15"/>
  <c r="AB122" i="15"/>
  <c r="AC122" i="15"/>
  <c r="AD122" i="15"/>
  <c r="AE122" i="15"/>
  <c r="AF122" i="15"/>
  <c r="AG122" i="15"/>
  <c r="AH122" i="15"/>
  <c r="AJ122" i="15"/>
  <c r="AK122" i="15"/>
  <c r="AL122" i="15"/>
  <c r="AO122" i="15"/>
  <c r="AP122" i="15"/>
  <c r="AV122" i="15"/>
  <c r="AW122" i="15"/>
  <c r="AX122" i="15"/>
  <c r="BC122" i="15"/>
  <c r="BD122" i="15"/>
  <c r="BF122" i="15"/>
  <c r="BH122" i="15"/>
  <c r="BI122" i="15"/>
  <c r="BJ122" i="15"/>
  <c r="K124" i="15"/>
  <c r="Z124" i="15"/>
  <c r="AB124" i="15"/>
  <c r="AC124" i="15"/>
  <c r="AD124" i="15"/>
  <c r="AE124" i="15"/>
  <c r="AF124" i="15"/>
  <c r="AG124" i="15"/>
  <c r="AH124" i="15"/>
  <c r="AJ124" i="15"/>
  <c r="AK124" i="15"/>
  <c r="AL124" i="15"/>
  <c r="AO124" i="15"/>
  <c r="AP124" i="15"/>
  <c r="AV124" i="15"/>
  <c r="AW124" i="15"/>
  <c r="AX124" i="15"/>
  <c r="BC124" i="15"/>
  <c r="BD124" i="15"/>
  <c r="BF124" i="15"/>
  <c r="BH124" i="15"/>
  <c r="BI124" i="15"/>
  <c r="BJ124" i="15"/>
  <c r="K126" i="15"/>
  <c r="AS126" i="15"/>
  <c r="AT126" i="15"/>
  <c r="AU126" i="15"/>
  <c r="K127" i="15"/>
  <c r="Z127" i="15"/>
  <c r="AB127" i="15"/>
  <c r="AC127" i="15"/>
  <c r="AD127" i="15"/>
  <c r="AE127" i="15"/>
  <c r="AF127" i="15"/>
  <c r="AG127" i="15"/>
  <c r="AH127" i="15"/>
  <c r="AJ127" i="15"/>
  <c r="AK127" i="15"/>
  <c r="AL127" i="15"/>
  <c r="AO127" i="15"/>
  <c r="AP127" i="15"/>
  <c r="AV127" i="15"/>
  <c r="AW127" i="15"/>
  <c r="AX127" i="15"/>
  <c r="BC127" i="15"/>
  <c r="BD127" i="15"/>
  <c r="BF127" i="15"/>
  <c r="BH127" i="15"/>
  <c r="BI127" i="15"/>
  <c r="BJ127" i="15"/>
  <c r="K130" i="15"/>
  <c r="Z130" i="15"/>
  <c r="AB130" i="15"/>
  <c r="AC130" i="15"/>
  <c r="AD130" i="15"/>
  <c r="AE130" i="15"/>
  <c r="AF130" i="15"/>
  <c r="AG130" i="15"/>
  <c r="AH130" i="15"/>
  <c r="AJ130" i="15"/>
  <c r="AK130" i="15"/>
  <c r="AL130" i="15"/>
  <c r="AO130" i="15"/>
  <c r="AP130" i="15"/>
  <c r="AV130" i="15"/>
  <c r="AW130" i="15"/>
  <c r="AX130" i="15"/>
  <c r="BC130" i="15"/>
  <c r="BD130" i="15"/>
  <c r="BF130" i="15"/>
  <c r="BH130" i="15"/>
  <c r="BI130" i="15"/>
  <c r="BJ130" i="15"/>
  <c r="K133" i="15"/>
  <c r="AS133" i="15"/>
  <c r="AT133" i="15"/>
  <c r="AU133" i="15"/>
  <c r="K134" i="15"/>
  <c r="Z134" i="15"/>
  <c r="AB134" i="15"/>
  <c r="AC134" i="15"/>
  <c r="AD134" i="15"/>
  <c r="AE134" i="15"/>
  <c r="AF134" i="15"/>
  <c r="AG134" i="15"/>
  <c r="AH134" i="15"/>
  <c r="AJ134" i="15"/>
  <c r="AK134" i="15"/>
  <c r="AL134" i="15"/>
  <c r="AO134" i="15"/>
  <c r="AP134" i="15"/>
  <c r="AV134" i="15"/>
  <c r="AW134" i="15"/>
  <c r="AX134" i="15"/>
  <c r="BC134" i="15"/>
  <c r="BD134" i="15"/>
  <c r="BF134" i="15"/>
  <c r="BH134" i="15"/>
  <c r="BI134" i="15"/>
  <c r="BJ134" i="15"/>
  <c r="K140" i="15"/>
  <c r="AS140" i="15"/>
  <c r="AT140" i="15"/>
  <c r="AU140" i="15"/>
  <c r="K141" i="15"/>
  <c r="Z141" i="15"/>
  <c r="AB141" i="15"/>
  <c r="AC141" i="15"/>
  <c r="AD141" i="15"/>
  <c r="AE141" i="15"/>
  <c r="AF141" i="15"/>
  <c r="AG141" i="15"/>
  <c r="AH141" i="15"/>
  <c r="AJ141" i="15"/>
  <c r="AK141" i="15"/>
  <c r="AL141" i="15"/>
  <c r="AO141" i="15"/>
  <c r="AP141" i="15"/>
  <c r="AV141" i="15"/>
  <c r="AW141" i="15"/>
  <c r="AX141" i="15"/>
  <c r="BC141" i="15"/>
  <c r="BD141" i="15"/>
  <c r="BF141" i="15"/>
  <c r="BH141" i="15"/>
  <c r="BI141" i="15"/>
  <c r="BJ141" i="15"/>
  <c r="K146" i="15"/>
  <c r="Z146" i="15"/>
  <c r="AB146" i="15"/>
  <c r="AC146" i="15"/>
  <c r="AD146" i="15"/>
  <c r="AE146" i="15"/>
  <c r="AF146" i="15"/>
  <c r="AG146" i="15"/>
  <c r="AH146" i="15"/>
  <c r="AJ146" i="15"/>
  <c r="AK146" i="15"/>
  <c r="AL146" i="15"/>
  <c r="AO146" i="15"/>
  <c r="AP146" i="15"/>
  <c r="AV146" i="15"/>
  <c r="AW146" i="15"/>
  <c r="AX146" i="15"/>
  <c r="BC146" i="15"/>
  <c r="BD146" i="15"/>
  <c r="BF146" i="15"/>
  <c r="BH146" i="15"/>
  <c r="BI146" i="15"/>
  <c r="BJ146" i="15"/>
  <c r="K151" i="15"/>
  <c r="Z151" i="15"/>
  <c r="AB151" i="15"/>
  <c r="AC151" i="15"/>
  <c r="AD151" i="15"/>
  <c r="AE151" i="15"/>
  <c r="AF151" i="15"/>
  <c r="AG151" i="15"/>
  <c r="AH151" i="15"/>
  <c r="AJ151" i="15"/>
  <c r="AK151" i="15"/>
  <c r="AL151" i="15"/>
  <c r="AO151" i="15"/>
  <c r="AP151" i="15"/>
  <c r="AV151" i="15"/>
  <c r="AW151" i="15"/>
  <c r="AX151" i="15"/>
  <c r="BC151" i="15"/>
  <c r="BD151" i="15"/>
  <c r="BF151" i="15"/>
  <c r="BH151" i="15"/>
  <c r="BI151" i="15"/>
  <c r="BJ151" i="15"/>
  <c r="K154" i="15"/>
  <c r="Z154" i="15"/>
  <c r="AB154" i="15"/>
  <c r="AC154" i="15"/>
  <c r="AD154" i="15"/>
  <c r="AE154" i="15"/>
  <c r="AF154" i="15"/>
  <c r="AG154" i="15"/>
  <c r="AH154" i="15"/>
  <c r="AJ154" i="15"/>
  <c r="AK154" i="15"/>
  <c r="AL154" i="15"/>
  <c r="AO154" i="15"/>
  <c r="AP154" i="15"/>
  <c r="AV154" i="15"/>
  <c r="AW154" i="15"/>
  <c r="AX154" i="15"/>
  <c r="BC154" i="15"/>
  <c r="BD154" i="15"/>
  <c r="BF154" i="15"/>
  <c r="BH154" i="15"/>
  <c r="BI154" i="15"/>
  <c r="BJ154" i="15"/>
  <c r="K158" i="15"/>
  <c r="AS158" i="15"/>
  <c r="AT158" i="15"/>
  <c r="AU158" i="15"/>
  <c r="K159" i="15"/>
  <c r="Z159" i="15"/>
  <c r="AB159" i="15"/>
  <c r="AC159" i="15"/>
  <c r="AD159" i="15"/>
  <c r="AE159" i="15"/>
  <c r="AF159" i="15"/>
  <c r="AG159" i="15"/>
  <c r="AH159" i="15"/>
  <c r="AJ159" i="15"/>
  <c r="AK159" i="15"/>
  <c r="AL159" i="15"/>
  <c r="AO159" i="15"/>
  <c r="AP159" i="15"/>
  <c r="AV159" i="15"/>
  <c r="AW159" i="15"/>
  <c r="AX159" i="15"/>
  <c r="BC159" i="15"/>
  <c r="BD159" i="15"/>
  <c r="BF159" i="15"/>
  <c r="BH159" i="15"/>
  <c r="BI159" i="15"/>
  <c r="BJ159" i="15"/>
  <c r="K165" i="15"/>
  <c r="Z165" i="15"/>
  <c r="AB165" i="15"/>
  <c r="AC165" i="15"/>
  <c r="AD165" i="15"/>
  <c r="AE165" i="15"/>
  <c r="AF165" i="15"/>
  <c r="AG165" i="15"/>
  <c r="AH165" i="15"/>
  <c r="AJ165" i="15"/>
  <c r="AK165" i="15"/>
  <c r="AL165" i="15"/>
  <c r="AO165" i="15"/>
  <c r="AP165" i="15"/>
  <c r="AV165" i="15"/>
  <c r="AW165" i="15"/>
  <c r="AX165" i="15"/>
  <c r="BC165" i="15"/>
  <c r="BD165" i="15"/>
  <c r="BF165" i="15"/>
  <c r="BH165" i="15"/>
  <c r="BI165" i="15"/>
  <c r="BJ165" i="15"/>
  <c r="K171" i="15"/>
  <c r="AS171" i="15"/>
  <c r="AT171" i="15"/>
  <c r="AU171" i="15"/>
  <c r="K172" i="15"/>
  <c r="Z172" i="15"/>
  <c r="AB172" i="15"/>
  <c r="AC172" i="15"/>
  <c r="AD172" i="15"/>
  <c r="AE172" i="15"/>
  <c r="AF172" i="15"/>
  <c r="AG172" i="15"/>
  <c r="AH172" i="15"/>
  <c r="AJ172" i="15"/>
  <c r="AK172" i="15"/>
  <c r="AL172" i="15"/>
  <c r="AO172" i="15"/>
  <c r="AP172" i="15"/>
  <c r="AV172" i="15"/>
  <c r="AW172" i="15"/>
  <c r="AX172" i="15"/>
  <c r="BC172" i="15"/>
  <c r="BD172" i="15"/>
  <c r="BF172" i="15"/>
  <c r="BH172" i="15"/>
  <c r="BI172" i="15"/>
  <c r="BJ172" i="15"/>
  <c r="K174" i="15"/>
  <c r="Z174" i="15"/>
  <c r="AB174" i="15"/>
  <c r="AC174" i="15"/>
  <c r="AD174" i="15"/>
  <c r="AE174" i="15"/>
  <c r="AF174" i="15"/>
  <c r="AG174" i="15"/>
  <c r="AH174" i="15"/>
  <c r="AJ174" i="15"/>
  <c r="AK174" i="15"/>
  <c r="AL174" i="15"/>
  <c r="AO174" i="15"/>
  <c r="AP174" i="15"/>
  <c r="AV174" i="15"/>
  <c r="AW174" i="15"/>
  <c r="AX174" i="15"/>
  <c r="BC174" i="15"/>
  <c r="BD174" i="15"/>
  <c r="BF174" i="15"/>
  <c r="BH174" i="15"/>
  <c r="BI174" i="15"/>
  <c r="BJ174" i="15"/>
  <c r="K177" i="15"/>
  <c r="Z177" i="15"/>
  <c r="AB177" i="15"/>
  <c r="AC177" i="15"/>
  <c r="AD177" i="15"/>
  <c r="AE177" i="15"/>
  <c r="AF177" i="15"/>
  <c r="AG177" i="15"/>
  <c r="AH177" i="15"/>
  <c r="AJ177" i="15"/>
  <c r="AK177" i="15"/>
  <c r="AL177" i="15"/>
  <c r="AO177" i="15"/>
  <c r="AP177" i="15"/>
  <c r="AV177" i="15"/>
  <c r="AW177" i="15"/>
  <c r="AX177" i="15"/>
  <c r="BC177" i="15"/>
  <c r="BD177" i="15"/>
  <c r="BF177" i="15"/>
  <c r="BH177" i="15"/>
  <c r="BI177" i="15"/>
  <c r="BJ177" i="15"/>
  <c r="K181" i="15"/>
  <c r="Z181" i="15"/>
  <c r="AB181" i="15"/>
  <c r="AC181" i="15"/>
  <c r="AD181" i="15"/>
  <c r="AE181" i="15"/>
  <c r="AF181" i="15"/>
  <c r="AG181" i="15"/>
  <c r="AH181" i="15"/>
  <c r="AJ181" i="15"/>
  <c r="AK181" i="15"/>
  <c r="AL181" i="15"/>
  <c r="AO181" i="15"/>
  <c r="AP181" i="15"/>
  <c r="AV181" i="15"/>
  <c r="AW181" i="15"/>
  <c r="AX181" i="15"/>
  <c r="BC181" i="15"/>
  <c r="BD181" i="15"/>
  <c r="BF181" i="15"/>
  <c r="BH181" i="15"/>
  <c r="BI181" i="15"/>
  <c r="BJ181" i="15"/>
  <c r="K185" i="15"/>
  <c r="Z185" i="15"/>
  <c r="AB185" i="15"/>
  <c r="AC185" i="15"/>
  <c r="AD185" i="15"/>
  <c r="AE185" i="15"/>
  <c r="AF185" i="15"/>
  <c r="AG185" i="15"/>
  <c r="AH185" i="15"/>
  <c r="AJ185" i="15"/>
  <c r="AK185" i="15"/>
  <c r="AL185" i="15"/>
  <c r="AO185" i="15"/>
  <c r="AP185" i="15"/>
  <c r="AV185" i="15"/>
  <c r="AW185" i="15"/>
  <c r="AX185" i="15"/>
  <c r="BC185" i="15"/>
  <c r="BD185" i="15"/>
  <c r="BF185" i="15"/>
  <c r="BH185" i="15"/>
  <c r="BI185" i="15"/>
  <c r="BJ185" i="15"/>
  <c r="K189" i="15"/>
  <c r="AS189" i="15"/>
  <c r="AT189" i="15"/>
  <c r="AU189" i="15"/>
  <c r="K190" i="15"/>
  <c r="Z190" i="15"/>
  <c r="AB190" i="15"/>
  <c r="AC190" i="15"/>
  <c r="AD190" i="15"/>
  <c r="AE190" i="15"/>
  <c r="AF190" i="15"/>
  <c r="AG190" i="15"/>
  <c r="AH190" i="15"/>
  <c r="AJ190" i="15"/>
  <c r="AK190" i="15"/>
  <c r="AL190" i="15"/>
  <c r="AO190" i="15"/>
  <c r="AP190" i="15"/>
  <c r="AV190" i="15"/>
  <c r="AW190" i="15"/>
  <c r="AX190" i="15"/>
  <c r="BC190" i="15"/>
  <c r="BD190" i="15"/>
  <c r="BF190" i="15"/>
  <c r="BH190" i="15"/>
  <c r="BI190" i="15"/>
  <c r="BJ190" i="15"/>
  <c r="K194" i="15"/>
  <c r="Z194" i="15"/>
  <c r="AB194" i="15"/>
  <c r="AC194" i="15"/>
  <c r="AD194" i="15"/>
  <c r="AE194" i="15"/>
  <c r="AF194" i="15"/>
  <c r="AG194" i="15"/>
  <c r="AH194" i="15"/>
  <c r="AJ194" i="15"/>
  <c r="AK194" i="15"/>
  <c r="AL194" i="15"/>
  <c r="AO194" i="15"/>
  <c r="AP194" i="15"/>
  <c r="AV194" i="15"/>
  <c r="AW194" i="15"/>
  <c r="AX194" i="15"/>
  <c r="BC194" i="15"/>
  <c r="BD194" i="15"/>
  <c r="BF194" i="15"/>
  <c r="BH194" i="15"/>
  <c r="BI194" i="15"/>
  <c r="BJ194" i="15"/>
  <c r="K196" i="15"/>
  <c r="Z196" i="15"/>
  <c r="AB196" i="15"/>
  <c r="AC196" i="15"/>
  <c r="AD196" i="15"/>
  <c r="AE196" i="15"/>
  <c r="AF196" i="15"/>
  <c r="AG196" i="15"/>
  <c r="AH196" i="15"/>
  <c r="AJ196" i="15"/>
  <c r="AK196" i="15"/>
  <c r="AL196" i="15"/>
  <c r="AO196" i="15"/>
  <c r="AP196" i="15"/>
  <c r="AV196" i="15"/>
  <c r="AW196" i="15"/>
  <c r="AX196" i="15"/>
  <c r="BC196" i="15"/>
  <c r="BD196" i="15"/>
  <c r="BF196" i="15"/>
  <c r="BH196" i="15"/>
  <c r="BI196" i="15"/>
  <c r="BJ196" i="15"/>
  <c r="K198" i="15"/>
  <c r="Z198" i="15"/>
  <c r="AB198" i="15"/>
  <c r="AC198" i="15"/>
  <c r="AD198" i="15"/>
  <c r="AE198" i="15"/>
  <c r="AF198" i="15"/>
  <c r="AG198" i="15"/>
  <c r="AH198" i="15"/>
  <c r="AJ198" i="15"/>
  <c r="AK198" i="15"/>
  <c r="AL198" i="15"/>
  <c r="AO198" i="15"/>
  <c r="AP198" i="15"/>
  <c r="AV198" i="15"/>
  <c r="AW198" i="15"/>
  <c r="AX198" i="15"/>
  <c r="BC198" i="15"/>
  <c r="BD198" i="15"/>
  <c r="BF198" i="15"/>
  <c r="BH198" i="15"/>
  <c r="BI198" i="15"/>
  <c r="BJ198" i="15"/>
  <c r="K200" i="15"/>
  <c r="Z200" i="15"/>
  <c r="AB200" i="15"/>
  <c r="AC200" i="15"/>
  <c r="AD200" i="15"/>
  <c r="AE200" i="15"/>
  <c r="AF200" i="15"/>
  <c r="AG200" i="15"/>
  <c r="AH200" i="15"/>
  <c r="AJ200" i="15"/>
  <c r="AK200" i="15"/>
  <c r="AL200" i="15"/>
  <c r="AO200" i="15"/>
  <c r="AP200" i="15"/>
  <c r="AV200" i="15"/>
  <c r="AW200" i="15"/>
  <c r="AX200" i="15"/>
  <c r="BC200" i="15"/>
  <c r="BD200" i="15"/>
  <c r="BF200" i="15"/>
  <c r="BH200" i="15"/>
  <c r="BI200" i="15"/>
  <c r="BJ200" i="15"/>
  <c r="K202" i="15"/>
  <c r="Z202" i="15"/>
  <c r="AB202" i="15"/>
  <c r="AC202" i="15"/>
  <c r="AD202" i="15"/>
  <c r="AE202" i="15"/>
  <c r="AF202" i="15"/>
  <c r="AG202" i="15"/>
  <c r="AH202" i="15"/>
  <c r="AJ202" i="15"/>
  <c r="AK202" i="15"/>
  <c r="AL202" i="15"/>
  <c r="AO202" i="15"/>
  <c r="AP202" i="15"/>
  <c r="AV202" i="15"/>
  <c r="AW202" i="15"/>
  <c r="AX202" i="15"/>
  <c r="BC202" i="15"/>
  <c r="BD202" i="15"/>
  <c r="BF202" i="15"/>
  <c r="BH202" i="15"/>
  <c r="BI202" i="15"/>
  <c r="BJ202" i="15"/>
  <c r="K203" i="15"/>
  <c r="Z203" i="15"/>
  <c r="AB203" i="15"/>
  <c r="AC203" i="15"/>
  <c r="AD203" i="15"/>
  <c r="AE203" i="15"/>
  <c r="AF203" i="15"/>
  <c r="AG203" i="15"/>
  <c r="AH203" i="15"/>
  <c r="AJ203" i="15"/>
  <c r="AK203" i="15"/>
  <c r="AL203" i="15"/>
  <c r="AO203" i="15"/>
  <c r="AP203" i="15"/>
  <c r="AV203" i="15"/>
  <c r="AW203" i="15"/>
  <c r="AX203" i="15"/>
  <c r="BC203" i="15"/>
  <c r="BD203" i="15"/>
  <c r="BF203" i="15"/>
  <c r="BH203" i="15"/>
  <c r="BI203" i="15"/>
  <c r="BJ203" i="15"/>
  <c r="K204" i="15"/>
  <c r="AS204" i="15"/>
  <c r="AT204" i="15"/>
  <c r="AU204" i="15"/>
  <c r="K205" i="15"/>
  <c r="Z205" i="15"/>
  <c r="AB205" i="15"/>
  <c r="AC205" i="15"/>
  <c r="AD205" i="15"/>
  <c r="AE205" i="15"/>
  <c r="AF205" i="15"/>
  <c r="AG205" i="15"/>
  <c r="AH205" i="15"/>
  <c r="AJ205" i="15"/>
  <c r="AK205" i="15"/>
  <c r="AL205" i="15"/>
  <c r="AO205" i="15"/>
  <c r="AP205" i="15"/>
  <c r="AV205" i="15"/>
  <c r="AW205" i="15"/>
  <c r="AX205" i="15"/>
  <c r="BC205" i="15"/>
  <c r="BD205" i="15"/>
  <c r="BF205" i="15"/>
  <c r="BH205" i="15"/>
  <c r="BI205" i="15"/>
  <c r="BJ205" i="15"/>
  <c r="K207" i="15"/>
  <c r="Z207" i="15"/>
  <c r="AB207" i="15"/>
  <c r="AC207" i="15"/>
  <c r="AD207" i="15"/>
  <c r="AE207" i="15"/>
  <c r="AF207" i="15"/>
  <c r="AG207" i="15"/>
  <c r="AH207" i="15"/>
  <c r="AJ207" i="15"/>
  <c r="AK207" i="15"/>
  <c r="AL207" i="15"/>
  <c r="AO207" i="15"/>
  <c r="AP207" i="15"/>
  <c r="AV207" i="15"/>
  <c r="AW207" i="15"/>
  <c r="AX207" i="15"/>
  <c r="BC207" i="15"/>
  <c r="BD207" i="15"/>
  <c r="BF207" i="15"/>
  <c r="BH207" i="15"/>
  <c r="BI207" i="15"/>
  <c r="BJ207" i="15"/>
  <c r="K210" i="15"/>
  <c r="Z210" i="15"/>
  <c r="AB210" i="15"/>
  <c r="AC210" i="15"/>
  <c r="AD210" i="15"/>
  <c r="AE210" i="15"/>
  <c r="AF210" i="15"/>
  <c r="AG210" i="15"/>
  <c r="AH210" i="15"/>
  <c r="AJ210" i="15"/>
  <c r="AK210" i="15"/>
  <c r="AL210" i="15"/>
  <c r="AO210" i="15"/>
  <c r="AP210" i="15"/>
  <c r="AV210" i="15"/>
  <c r="AW210" i="15"/>
  <c r="AX210" i="15"/>
  <c r="BC210" i="15"/>
  <c r="BD210" i="15"/>
  <c r="BF210" i="15"/>
  <c r="BH210" i="15"/>
  <c r="BI210" i="15"/>
  <c r="BJ210" i="15"/>
  <c r="K212" i="15"/>
  <c r="Z212" i="15"/>
  <c r="AB212" i="15"/>
  <c r="AC212" i="15"/>
  <c r="AD212" i="15"/>
  <c r="AE212" i="15"/>
  <c r="AF212" i="15"/>
  <c r="AG212" i="15"/>
  <c r="AH212" i="15"/>
  <c r="AJ212" i="15"/>
  <c r="AK212" i="15"/>
  <c r="AL212" i="15"/>
  <c r="AO212" i="15"/>
  <c r="AP212" i="15"/>
  <c r="AV212" i="15"/>
  <c r="AW212" i="15"/>
  <c r="AX212" i="15"/>
  <c r="BC212" i="15"/>
  <c r="BD212" i="15"/>
  <c r="BF212" i="15"/>
  <c r="BH212" i="15"/>
  <c r="BI212" i="15"/>
  <c r="BJ212" i="15"/>
  <c r="K215" i="15"/>
  <c r="Z215" i="15"/>
  <c r="AB215" i="15"/>
  <c r="AC215" i="15"/>
  <c r="AD215" i="15"/>
  <c r="AE215" i="15"/>
  <c r="AF215" i="15"/>
  <c r="AG215" i="15"/>
  <c r="AH215" i="15"/>
  <c r="AJ215" i="15"/>
  <c r="AK215" i="15"/>
  <c r="AL215" i="15"/>
  <c r="AO215" i="15"/>
  <c r="AP215" i="15"/>
  <c r="AV215" i="15"/>
  <c r="AW215" i="15"/>
  <c r="AX215" i="15"/>
  <c r="BC215" i="15"/>
  <c r="BD215" i="15"/>
  <c r="BF215" i="15"/>
  <c r="BH215" i="15"/>
  <c r="BI215" i="15"/>
  <c r="BJ215" i="15"/>
  <c r="K217" i="15"/>
  <c r="Z217" i="15"/>
  <c r="AB217" i="15"/>
  <c r="AC217" i="15"/>
  <c r="AD217" i="15"/>
  <c r="AE217" i="15"/>
  <c r="AF217" i="15"/>
  <c r="AG217" i="15"/>
  <c r="AH217" i="15"/>
  <c r="AJ217" i="15"/>
  <c r="AK217" i="15"/>
  <c r="AL217" i="15"/>
  <c r="AO217" i="15"/>
  <c r="AP217" i="15"/>
  <c r="AV217" i="15"/>
  <c r="AW217" i="15"/>
  <c r="AX217" i="15"/>
  <c r="BC217" i="15"/>
  <c r="BD217" i="15"/>
  <c r="BF217" i="15"/>
  <c r="BH217" i="15"/>
  <c r="BI217" i="15"/>
  <c r="BJ217" i="15"/>
  <c r="K220" i="15"/>
  <c r="Z220" i="15"/>
  <c r="AB220" i="15"/>
  <c r="AC220" i="15"/>
  <c r="AD220" i="15"/>
  <c r="AE220" i="15"/>
  <c r="AF220" i="15"/>
  <c r="AG220" i="15"/>
  <c r="AH220" i="15"/>
  <c r="AJ220" i="15"/>
  <c r="AK220" i="15"/>
  <c r="AL220" i="15"/>
  <c r="AO220" i="15"/>
  <c r="AP220" i="15"/>
  <c r="AV220" i="15"/>
  <c r="AW220" i="15"/>
  <c r="AX220" i="15"/>
  <c r="BC220" i="15"/>
  <c r="BD220" i="15"/>
  <c r="BF220" i="15"/>
  <c r="BH220" i="15"/>
  <c r="BI220" i="15"/>
  <c r="BJ220" i="15"/>
  <c r="K222" i="15"/>
  <c r="Z222" i="15"/>
  <c r="AB222" i="15"/>
  <c r="AC222" i="15"/>
  <c r="AD222" i="15"/>
  <c r="AE222" i="15"/>
  <c r="AF222" i="15"/>
  <c r="AG222" i="15"/>
  <c r="AH222" i="15"/>
  <c r="AJ222" i="15"/>
  <c r="AK222" i="15"/>
  <c r="AL222" i="15"/>
  <c r="AO222" i="15"/>
  <c r="AP222" i="15"/>
  <c r="AV222" i="15"/>
  <c r="AW222" i="15"/>
  <c r="AX222" i="15"/>
  <c r="BC222" i="15"/>
  <c r="BD222" i="15"/>
  <c r="BF222" i="15"/>
  <c r="BH222" i="15"/>
  <c r="BI222" i="15"/>
  <c r="BJ222" i="15"/>
  <c r="K225" i="15"/>
  <c r="Z225" i="15"/>
  <c r="AB225" i="15"/>
  <c r="AC225" i="15"/>
  <c r="AD225" i="15"/>
  <c r="AE225" i="15"/>
  <c r="AF225" i="15"/>
  <c r="AG225" i="15"/>
  <c r="AH225" i="15"/>
  <c r="AJ225" i="15"/>
  <c r="AK225" i="15"/>
  <c r="AL225" i="15"/>
  <c r="AO225" i="15"/>
  <c r="AP225" i="15"/>
  <c r="AV225" i="15"/>
  <c r="AW225" i="15"/>
  <c r="AX225" i="15"/>
  <c r="BC225" i="15"/>
  <c r="BD225" i="15"/>
  <c r="BF225" i="15"/>
  <c r="BH225" i="15"/>
  <c r="BI225" i="15"/>
  <c r="BJ225" i="15"/>
  <c r="K227" i="15"/>
  <c r="Z227" i="15"/>
  <c r="AB227" i="15"/>
  <c r="AC227" i="15"/>
  <c r="AD227" i="15"/>
  <c r="AE227" i="15"/>
  <c r="AF227" i="15"/>
  <c r="AG227" i="15"/>
  <c r="AH227" i="15"/>
  <c r="AJ227" i="15"/>
  <c r="AK227" i="15"/>
  <c r="AL227" i="15"/>
  <c r="AO227" i="15"/>
  <c r="AP227" i="15"/>
  <c r="AV227" i="15"/>
  <c r="AW227" i="15"/>
  <c r="AX227" i="15"/>
  <c r="BC227" i="15"/>
  <c r="BD227" i="15"/>
  <c r="BF227" i="15"/>
  <c r="BH227" i="15"/>
  <c r="BI227" i="15"/>
  <c r="BJ227" i="15"/>
  <c r="K230" i="15"/>
  <c r="Z230" i="15"/>
  <c r="AB230" i="15"/>
  <c r="AC230" i="15"/>
  <c r="AD230" i="15"/>
  <c r="AE230" i="15"/>
  <c r="AF230" i="15"/>
  <c r="AG230" i="15"/>
  <c r="AH230" i="15"/>
  <c r="AJ230" i="15"/>
  <c r="AK230" i="15"/>
  <c r="AL230" i="15"/>
  <c r="AO230" i="15"/>
  <c r="AP230" i="15"/>
  <c r="AV230" i="15"/>
  <c r="AW230" i="15"/>
  <c r="AX230" i="15"/>
  <c r="BC230" i="15"/>
  <c r="BD230" i="15"/>
  <c r="BF230" i="15"/>
  <c r="BH230" i="15"/>
  <c r="BI230" i="15"/>
  <c r="BJ230" i="15"/>
  <c r="K233" i="15"/>
  <c r="Z233" i="15"/>
  <c r="AB233" i="15"/>
  <c r="AC233" i="15"/>
  <c r="AD233" i="15"/>
  <c r="AE233" i="15"/>
  <c r="AF233" i="15"/>
  <c r="AG233" i="15"/>
  <c r="AH233" i="15"/>
  <c r="AJ233" i="15"/>
  <c r="AK233" i="15"/>
  <c r="AL233" i="15"/>
  <c r="AO233" i="15"/>
  <c r="AP233" i="15"/>
  <c r="AV233" i="15"/>
  <c r="AW233" i="15"/>
  <c r="AX233" i="15"/>
  <c r="BC233" i="15"/>
  <c r="BD233" i="15"/>
  <c r="BF233" i="15"/>
  <c r="BH233" i="15"/>
  <c r="BI233" i="15"/>
  <c r="BJ233" i="15"/>
  <c r="K236" i="15"/>
  <c r="Z236" i="15"/>
  <c r="AB236" i="15"/>
  <c r="AC236" i="15"/>
  <c r="AD236" i="15"/>
  <c r="AE236" i="15"/>
  <c r="AF236" i="15"/>
  <c r="AG236" i="15"/>
  <c r="AH236" i="15"/>
  <c r="AJ236" i="15"/>
  <c r="AK236" i="15"/>
  <c r="AL236" i="15"/>
  <c r="AO236" i="15"/>
  <c r="AP236" i="15"/>
  <c r="AV236" i="15"/>
  <c r="AW236" i="15"/>
  <c r="AX236" i="15"/>
  <c r="BC236" i="15"/>
  <c r="BD236" i="15"/>
  <c r="BF236" i="15"/>
  <c r="BH236" i="15"/>
  <c r="BI236" i="15"/>
  <c r="BJ236" i="15"/>
  <c r="K238" i="15"/>
  <c r="Z238" i="15"/>
  <c r="AB238" i="15"/>
  <c r="AC238" i="15"/>
  <c r="AD238" i="15"/>
  <c r="AE238" i="15"/>
  <c r="AF238" i="15"/>
  <c r="AG238" i="15"/>
  <c r="AH238" i="15"/>
  <c r="AJ238" i="15"/>
  <c r="AK238" i="15"/>
  <c r="AL238" i="15"/>
  <c r="AO238" i="15"/>
  <c r="AP238" i="15"/>
  <c r="AV238" i="15"/>
  <c r="AW238" i="15"/>
  <c r="AX238" i="15"/>
  <c r="BC238" i="15"/>
  <c r="BD238" i="15"/>
  <c r="BF238" i="15"/>
  <c r="BH238" i="15"/>
  <c r="BI238" i="15"/>
  <c r="BJ238" i="15"/>
  <c r="K241" i="15"/>
  <c r="Z241" i="15"/>
  <c r="AB241" i="15"/>
  <c r="AC241" i="15"/>
  <c r="AD241" i="15"/>
  <c r="AE241" i="15"/>
  <c r="AF241" i="15"/>
  <c r="AG241" i="15"/>
  <c r="AH241" i="15"/>
  <c r="AJ241" i="15"/>
  <c r="AK241" i="15"/>
  <c r="AL241" i="15"/>
  <c r="AO241" i="15"/>
  <c r="AP241" i="15"/>
  <c r="AV241" i="15"/>
  <c r="AW241" i="15"/>
  <c r="AX241" i="15"/>
  <c r="BC241" i="15"/>
  <c r="BD241" i="15"/>
  <c r="BF241" i="15"/>
  <c r="BH241" i="15"/>
  <c r="BI241" i="15"/>
  <c r="BJ241" i="15"/>
  <c r="K243" i="15"/>
  <c r="Z243" i="15"/>
  <c r="AB243" i="15"/>
  <c r="AC243" i="15"/>
  <c r="AD243" i="15"/>
  <c r="AE243" i="15"/>
  <c r="AF243" i="15"/>
  <c r="AG243" i="15"/>
  <c r="AH243" i="15"/>
  <c r="AJ243" i="15"/>
  <c r="AK243" i="15"/>
  <c r="AL243" i="15"/>
  <c r="AO243" i="15"/>
  <c r="AP243" i="15"/>
  <c r="AV243" i="15"/>
  <c r="AW243" i="15"/>
  <c r="AX243" i="15"/>
  <c r="BC243" i="15"/>
  <c r="BD243" i="15"/>
  <c r="BF243" i="15"/>
  <c r="BH243" i="15"/>
  <c r="BI243" i="15"/>
  <c r="BJ243" i="15"/>
  <c r="K244" i="15"/>
  <c r="AS244" i="15"/>
  <c r="AT244" i="15"/>
  <c r="AU244" i="15"/>
  <c r="K245" i="15"/>
  <c r="Z245" i="15"/>
  <c r="AB245" i="15"/>
  <c r="AC245" i="15"/>
  <c r="AD245" i="15"/>
  <c r="AE245" i="15"/>
  <c r="AF245" i="15"/>
  <c r="AG245" i="15"/>
  <c r="AH245" i="15"/>
  <c r="AJ245" i="15"/>
  <c r="AK245" i="15"/>
  <c r="AL245" i="15"/>
  <c r="AO245" i="15"/>
  <c r="AP245" i="15"/>
  <c r="AV245" i="15"/>
  <c r="AW245" i="15"/>
  <c r="AX245" i="15"/>
  <c r="BC245" i="15"/>
  <c r="BD245" i="15"/>
  <c r="BF245" i="15"/>
  <c r="BH245" i="15"/>
  <c r="BI245" i="15"/>
  <c r="BJ245" i="15"/>
  <c r="K247" i="15"/>
  <c r="Z247" i="15"/>
  <c r="AB247" i="15"/>
  <c r="AC247" i="15"/>
  <c r="AD247" i="15"/>
  <c r="AE247" i="15"/>
  <c r="AF247" i="15"/>
  <c r="AG247" i="15"/>
  <c r="AH247" i="15"/>
  <c r="AJ247" i="15"/>
  <c r="AK247" i="15"/>
  <c r="AL247" i="15"/>
  <c r="AO247" i="15"/>
  <c r="AP247" i="15"/>
  <c r="AV247" i="15"/>
  <c r="AW247" i="15"/>
  <c r="AX247" i="15"/>
  <c r="BC247" i="15"/>
  <c r="BD247" i="15"/>
  <c r="BF247" i="15"/>
  <c r="BH247" i="15"/>
  <c r="BI247" i="15"/>
  <c r="BJ247" i="15"/>
  <c r="K250" i="15"/>
  <c r="Z250" i="15"/>
  <c r="AB250" i="15"/>
  <c r="AC250" i="15"/>
  <c r="AD250" i="15"/>
  <c r="AE250" i="15"/>
  <c r="AF250" i="15"/>
  <c r="AG250" i="15"/>
  <c r="AH250" i="15"/>
  <c r="AJ250" i="15"/>
  <c r="AK250" i="15"/>
  <c r="AL250" i="15"/>
  <c r="AO250" i="15"/>
  <c r="AP250" i="15"/>
  <c r="AV250" i="15"/>
  <c r="AW250" i="15"/>
  <c r="AX250" i="15"/>
  <c r="BC250" i="15"/>
  <c r="BD250" i="15"/>
  <c r="BF250" i="15"/>
  <c r="BH250" i="15"/>
  <c r="BI250" i="15"/>
  <c r="BJ250" i="15"/>
  <c r="K251" i="15"/>
  <c r="Z251" i="15"/>
  <c r="AB251" i="15"/>
  <c r="AC251" i="15"/>
  <c r="AD251" i="15"/>
  <c r="AE251" i="15"/>
  <c r="AF251" i="15"/>
  <c r="AG251" i="15"/>
  <c r="AH251" i="15"/>
  <c r="AJ251" i="15"/>
  <c r="AK251" i="15"/>
  <c r="AL251" i="15"/>
  <c r="AO251" i="15"/>
  <c r="AP251" i="15"/>
  <c r="AV251" i="15"/>
  <c r="AW251" i="15"/>
  <c r="AX251" i="15"/>
  <c r="BC251" i="15"/>
  <c r="BD251" i="15"/>
  <c r="BF251" i="15"/>
  <c r="BH251" i="15"/>
  <c r="BI251" i="15"/>
  <c r="BJ251" i="15"/>
  <c r="K252" i="15"/>
  <c r="Z252" i="15"/>
  <c r="AB252" i="15"/>
  <c r="AC252" i="15"/>
  <c r="AD252" i="15"/>
  <c r="AE252" i="15"/>
  <c r="AF252" i="15"/>
  <c r="AG252" i="15"/>
  <c r="AH252" i="15"/>
  <c r="AJ252" i="15"/>
  <c r="AK252" i="15"/>
  <c r="AL252" i="15"/>
  <c r="AO252" i="15"/>
  <c r="AP252" i="15"/>
  <c r="AV252" i="15"/>
  <c r="AW252" i="15"/>
  <c r="AX252" i="15"/>
  <c r="BC252" i="15"/>
  <c r="BD252" i="15"/>
  <c r="BF252" i="15"/>
  <c r="BH252" i="15"/>
  <c r="BI252" i="15"/>
  <c r="BJ252" i="15"/>
  <c r="K253" i="15"/>
  <c r="Z253" i="15"/>
  <c r="AB253" i="15"/>
  <c r="AC253" i="15"/>
  <c r="AD253" i="15"/>
  <c r="AE253" i="15"/>
  <c r="AF253" i="15"/>
  <c r="AG253" i="15"/>
  <c r="AH253" i="15"/>
  <c r="AJ253" i="15"/>
  <c r="AK253" i="15"/>
  <c r="AL253" i="15"/>
  <c r="AO253" i="15"/>
  <c r="AP253" i="15"/>
  <c r="AV253" i="15"/>
  <c r="AW253" i="15"/>
  <c r="AX253" i="15"/>
  <c r="BC253" i="15"/>
  <c r="BD253" i="15"/>
  <c r="BF253" i="15"/>
  <c r="BH253" i="15"/>
  <c r="BI253" i="15"/>
  <c r="BJ253" i="15"/>
  <c r="K254" i="15"/>
  <c r="Z254" i="15"/>
  <c r="AB254" i="15"/>
  <c r="AC254" i="15"/>
  <c r="AD254" i="15"/>
  <c r="AE254" i="15"/>
  <c r="AF254" i="15"/>
  <c r="AG254" i="15"/>
  <c r="AH254" i="15"/>
  <c r="AJ254" i="15"/>
  <c r="AK254" i="15"/>
  <c r="AL254" i="15"/>
  <c r="AO254" i="15"/>
  <c r="AP254" i="15"/>
  <c r="AV254" i="15"/>
  <c r="AW254" i="15"/>
  <c r="AX254" i="15"/>
  <c r="BC254" i="15"/>
  <c r="BD254" i="15"/>
  <c r="BF254" i="15"/>
  <c r="BH254" i="15"/>
  <c r="BI254" i="15"/>
  <c r="BJ254" i="15"/>
  <c r="K255" i="15"/>
  <c r="Z255" i="15"/>
  <c r="AB255" i="15"/>
  <c r="AC255" i="15"/>
  <c r="AD255" i="15"/>
  <c r="AE255" i="15"/>
  <c r="AF255" i="15"/>
  <c r="AG255" i="15"/>
  <c r="AH255" i="15"/>
  <c r="AJ255" i="15"/>
  <c r="AK255" i="15"/>
  <c r="AL255" i="15"/>
  <c r="AO255" i="15"/>
  <c r="AP255" i="15"/>
  <c r="AV255" i="15"/>
  <c r="AW255" i="15"/>
  <c r="AX255" i="15"/>
  <c r="BC255" i="15"/>
  <c r="BD255" i="15"/>
  <c r="BF255" i="15"/>
  <c r="BH255" i="15"/>
  <c r="BI255" i="15"/>
  <c r="BJ255" i="15"/>
  <c r="K256" i="15"/>
  <c r="Z256" i="15"/>
  <c r="AB256" i="15"/>
  <c r="AC256" i="15"/>
  <c r="AD256" i="15"/>
  <c r="AE256" i="15"/>
  <c r="AF256" i="15"/>
  <c r="AG256" i="15"/>
  <c r="AH256" i="15"/>
  <c r="AJ256" i="15"/>
  <c r="AK256" i="15"/>
  <c r="AL256" i="15"/>
  <c r="AO256" i="15"/>
  <c r="AP256" i="15"/>
  <c r="AV256" i="15"/>
  <c r="AW256" i="15"/>
  <c r="AX256" i="15"/>
  <c r="BC256" i="15"/>
  <c r="BD256" i="15"/>
  <c r="BF256" i="15"/>
  <c r="BH256" i="15"/>
  <c r="BI256" i="15"/>
  <c r="BJ256" i="15"/>
  <c r="K257" i="15"/>
  <c r="Z257" i="15"/>
  <c r="AB257" i="15"/>
  <c r="AC257" i="15"/>
  <c r="AD257" i="15"/>
  <c r="AE257" i="15"/>
  <c r="AF257" i="15"/>
  <c r="AG257" i="15"/>
  <c r="AH257" i="15"/>
  <c r="AJ257" i="15"/>
  <c r="AK257" i="15"/>
  <c r="AL257" i="15"/>
  <c r="AO257" i="15"/>
  <c r="AP257" i="15"/>
  <c r="AV257" i="15"/>
  <c r="AW257" i="15"/>
  <c r="AX257" i="15"/>
  <c r="BC257" i="15"/>
  <c r="BD257" i="15"/>
  <c r="BF257" i="15"/>
  <c r="BH257" i="15"/>
  <c r="BI257" i="15"/>
  <c r="BJ257" i="15"/>
  <c r="K258" i="15"/>
  <c r="Z258" i="15"/>
  <c r="AB258" i="15"/>
  <c r="AC258" i="15"/>
  <c r="AD258" i="15"/>
  <c r="AE258" i="15"/>
  <c r="AF258" i="15"/>
  <c r="AG258" i="15"/>
  <c r="AH258" i="15"/>
  <c r="AJ258" i="15"/>
  <c r="AK258" i="15"/>
  <c r="AL258" i="15"/>
  <c r="AO258" i="15"/>
  <c r="AP258" i="15"/>
  <c r="AV258" i="15"/>
  <c r="AW258" i="15"/>
  <c r="AX258" i="15"/>
  <c r="BC258" i="15"/>
  <c r="BD258" i="15"/>
  <c r="BF258" i="15"/>
  <c r="BH258" i="15"/>
  <c r="BI258" i="15"/>
  <c r="BJ258" i="15"/>
  <c r="K259" i="15"/>
  <c r="AS259" i="15"/>
  <c r="AT259" i="15"/>
  <c r="AU259" i="15"/>
  <c r="K260" i="15"/>
  <c r="Z260" i="15"/>
  <c r="AB260" i="15"/>
  <c r="AC260" i="15"/>
  <c r="AD260" i="15"/>
  <c r="AE260" i="15"/>
  <c r="AF260" i="15"/>
  <c r="AG260" i="15"/>
  <c r="AH260" i="15"/>
  <c r="AJ260" i="15"/>
  <c r="AK260" i="15"/>
  <c r="AL260" i="15"/>
  <c r="AO260" i="15"/>
  <c r="AP260" i="15"/>
  <c r="AV260" i="15"/>
  <c r="AW260" i="15"/>
  <c r="AX260" i="15"/>
  <c r="BC260" i="15"/>
  <c r="BD260" i="15"/>
  <c r="BF260" i="15"/>
  <c r="BH260" i="15"/>
  <c r="BI260" i="15"/>
  <c r="BJ260" i="15"/>
  <c r="K262" i="15"/>
  <c r="Z262" i="15"/>
  <c r="AB262" i="15"/>
  <c r="AC262" i="15"/>
  <c r="AD262" i="15"/>
  <c r="AE262" i="15"/>
  <c r="AF262" i="15"/>
  <c r="AG262" i="15"/>
  <c r="AH262" i="15"/>
  <c r="AJ262" i="15"/>
  <c r="AK262" i="15"/>
  <c r="AL262" i="15"/>
  <c r="AO262" i="15"/>
  <c r="AP262" i="15"/>
  <c r="AV262" i="15"/>
  <c r="AW262" i="15"/>
  <c r="AX262" i="15"/>
  <c r="BC262" i="15"/>
  <c r="BD262" i="15"/>
  <c r="BF262" i="15"/>
  <c r="BH262" i="15"/>
  <c r="BI262" i="15"/>
  <c r="BJ262" i="15"/>
  <c r="K263" i="15"/>
  <c r="AS263" i="15"/>
  <c r="AT263" i="15"/>
  <c r="AU263" i="15"/>
  <c r="K264" i="15"/>
  <c r="Z264" i="15"/>
  <c r="AB264" i="15"/>
  <c r="AC264" i="15"/>
  <c r="AD264" i="15"/>
  <c r="AE264" i="15"/>
  <c r="AF264" i="15"/>
  <c r="AG264" i="15"/>
  <c r="AH264" i="15"/>
  <c r="AJ264" i="15"/>
  <c r="AK264" i="15"/>
  <c r="AL264" i="15"/>
  <c r="AO264" i="15"/>
  <c r="AP264" i="15"/>
  <c r="AV264" i="15"/>
  <c r="AW264" i="15"/>
  <c r="AX264" i="15"/>
  <c r="BC264" i="15"/>
  <c r="BD264" i="15"/>
  <c r="BF264" i="15"/>
  <c r="BH264" i="15"/>
  <c r="BI264" i="15"/>
  <c r="BJ264" i="15"/>
  <c r="K266" i="15"/>
  <c r="Z266" i="15"/>
  <c r="AB266" i="15"/>
  <c r="AC266" i="15"/>
  <c r="AD266" i="15"/>
  <c r="AE266" i="15"/>
  <c r="AF266" i="15"/>
  <c r="AG266" i="15"/>
  <c r="AH266" i="15"/>
  <c r="AJ266" i="15"/>
  <c r="AK266" i="15"/>
  <c r="AL266" i="15"/>
  <c r="AO266" i="15"/>
  <c r="AP266" i="15"/>
  <c r="AV266" i="15"/>
  <c r="AW266" i="15"/>
  <c r="AX266" i="15"/>
  <c r="BC266" i="15"/>
  <c r="BD266" i="15"/>
  <c r="BF266" i="15"/>
  <c r="BH266" i="15"/>
  <c r="BI266" i="15"/>
  <c r="BJ266" i="15"/>
  <c r="K269" i="15"/>
  <c r="Z269" i="15"/>
  <c r="AB269" i="15"/>
  <c r="AC269" i="15"/>
  <c r="AD269" i="15"/>
  <c r="AE269" i="15"/>
  <c r="AF269" i="15"/>
  <c r="AG269" i="15"/>
  <c r="AH269" i="15"/>
  <c r="AJ269" i="15"/>
  <c r="AK269" i="15"/>
  <c r="AL269" i="15"/>
  <c r="AO269" i="15"/>
  <c r="AP269" i="15"/>
  <c r="AV269" i="15"/>
  <c r="AW269" i="15"/>
  <c r="AX269" i="15"/>
  <c r="BC269" i="15"/>
  <c r="BD269" i="15"/>
  <c r="BF269" i="15"/>
  <c r="BH269" i="15"/>
  <c r="BI269" i="15"/>
  <c r="BJ269" i="15"/>
  <c r="K271" i="15"/>
  <c r="Z271" i="15"/>
  <c r="AB271" i="15"/>
  <c r="AC271" i="15"/>
  <c r="AD271" i="15"/>
  <c r="AE271" i="15"/>
  <c r="AF271" i="15"/>
  <c r="AG271" i="15"/>
  <c r="AH271" i="15"/>
  <c r="AJ271" i="15"/>
  <c r="AK271" i="15"/>
  <c r="AL271" i="15"/>
  <c r="AO271" i="15"/>
  <c r="AP271" i="15"/>
  <c r="AV271" i="15"/>
  <c r="AW271" i="15"/>
  <c r="AX271" i="15"/>
  <c r="BC271" i="15"/>
  <c r="BD271" i="15"/>
  <c r="BF271" i="15"/>
  <c r="BH271" i="15"/>
  <c r="BI271" i="15"/>
  <c r="BJ271" i="15"/>
  <c r="K274" i="15"/>
  <c r="Z274" i="15"/>
  <c r="AB274" i="15"/>
  <c r="AC274" i="15"/>
  <c r="AD274" i="15"/>
  <c r="AE274" i="15"/>
  <c r="AF274" i="15"/>
  <c r="AG274" i="15"/>
  <c r="AH274" i="15"/>
  <c r="AJ274" i="15"/>
  <c r="AK274" i="15"/>
  <c r="AL274" i="15"/>
  <c r="AO274" i="15"/>
  <c r="AP274" i="15"/>
  <c r="AV274" i="15"/>
  <c r="AW274" i="15"/>
  <c r="AX274" i="15"/>
  <c r="BC274" i="15"/>
  <c r="BD274" i="15"/>
  <c r="BF274" i="15"/>
  <c r="BH274" i="15"/>
  <c r="BI274" i="15"/>
  <c r="BJ274" i="15"/>
  <c r="K276" i="15"/>
  <c r="Z276" i="15"/>
  <c r="AB276" i="15"/>
  <c r="AC276" i="15"/>
  <c r="AD276" i="15"/>
  <c r="AE276" i="15"/>
  <c r="AF276" i="15"/>
  <c r="AG276" i="15"/>
  <c r="AH276" i="15"/>
  <c r="AJ276" i="15"/>
  <c r="AK276" i="15"/>
  <c r="AL276" i="15"/>
  <c r="AO276" i="15"/>
  <c r="AP276" i="15"/>
  <c r="AV276" i="15"/>
  <c r="AW276" i="15"/>
  <c r="AX276" i="15"/>
  <c r="BC276" i="15"/>
  <c r="BD276" i="15"/>
  <c r="BF276" i="15"/>
  <c r="BH276" i="15"/>
  <c r="BI276" i="15"/>
  <c r="BJ276" i="15"/>
  <c r="K279" i="15"/>
  <c r="Z279" i="15"/>
  <c r="AB279" i="15"/>
  <c r="AC279" i="15"/>
  <c r="AD279" i="15"/>
  <c r="AE279" i="15"/>
  <c r="AF279" i="15"/>
  <c r="AG279" i="15"/>
  <c r="AH279" i="15"/>
  <c r="AJ279" i="15"/>
  <c r="AK279" i="15"/>
  <c r="AL279" i="15"/>
  <c r="AO279" i="15"/>
  <c r="AP279" i="15"/>
  <c r="AV279" i="15"/>
  <c r="AW279" i="15"/>
  <c r="AX279" i="15"/>
  <c r="BC279" i="15"/>
  <c r="BD279" i="15"/>
  <c r="BF279" i="15"/>
  <c r="BH279" i="15"/>
  <c r="BI279" i="15"/>
  <c r="BJ279" i="15"/>
  <c r="K281" i="15"/>
  <c r="Z281" i="15"/>
  <c r="AB281" i="15"/>
  <c r="AC281" i="15"/>
  <c r="AD281" i="15"/>
  <c r="AE281" i="15"/>
  <c r="AF281" i="15"/>
  <c r="AG281" i="15"/>
  <c r="AH281" i="15"/>
  <c r="AJ281" i="15"/>
  <c r="AK281" i="15"/>
  <c r="AL281" i="15"/>
  <c r="AO281" i="15"/>
  <c r="AP281" i="15"/>
  <c r="AV281" i="15"/>
  <c r="AW281" i="15"/>
  <c r="AX281" i="15"/>
  <c r="BC281" i="15"/>
  <c r="BD281" i="15"/>
  <c r="BF281" i="15"/>
  <c r="BH281" i="15"/>
  <c r="BI281" i="15"/>
  <c r="BJ281" i="15"/>
  <c r="K284" i="15"/>
  <c r="Z284" i="15"/>
  <c r="AB284" i="15"/>
  <c r="AC284" i="15"/>
  <c r="AD284" i="15"/>
  <c r="AE284" i="15"/>
  <c r="AF284" i="15"/>
  <c r="AG284" i="15"/>
  <c r="AH284" i="15"/>
  <c r="AJ284" i="15"/>
  <c r="AK284" i="15"/>
  <c r="AL284" i="15"/>
  <c r="AO284" i="15"/>
  <c r="AP284" i="15"/>
  <c r="AV284" i="15"/>
  <c r="AW284" i="15"/>
  <c r="AX284" i="15"/>
  <c r="BC284" i="15"/>
  <c r="BD284" i="15"/>
  <c r="BF284" i="15"/>
  <c r="BH284" i="15"/>
  <c r="BI284" i="15"/>
  <c r="BJ284" i="15"/>
  <c r="K286" i="15"/>
  <c r="Z286" i="15"/>
  <c r="AB286" i="15"/>
  <c r="AC286" i="15"/>
  <c r="AD286" i="15"/>
  <c r="AE286" i="15"/>
  <c r="AF286" i="15"/>
  <c r="AG286" i="15"/>
  <c r="AH286" i="15"/>
  <c r="AJ286" i="15"/>
  <c r="AK286" i="15"/>
  <c r="AL286" i="15"/>
  <c r="AO286" i="15"/>
  <c r="AP286" i="15"/>
  <c r="AV286" i="15"/>
  <c r="AW286" i="15"/>
  <c r="AX286" i="15"/>
  <c r="BC286" i="15"/>
  <c r="BD286" i="15"/>
  <c r="BF286" i="15"/>
  <c r="BH286" i="15"/>
  <c r="BI286" i="15"/>
  <c r="BJ286" i="15"/>
  <c r="K289" i="15"/>
  <c r="Z289" i="15"/>
  <c r="AB289" i="15"/>
  <c r="AC289" i="15"/>
  <c r="AD289" i="15"/>
  <c r="AE289" i="15"/>
  <c r="AF289" i="15"/>
  <c r="AG289" i="15"/>
  <c r="AH289" i="15"/>
  <c r="AJ289" i="15"/>
  <c r="AK289" i="15"/>
  <c r="AL289" i="15"/>
  <c r="AO289" i="15"/>
  <c r="AP289" i="15"/>
  <c r="AV289" i="15"/>
  <c r="AW289" i="15"/>
  <c r="AX289" i="15"/>
  <c r="BC289" i="15"/>
  <c r="BD289" i="15"/>
  <c r="BF289" i="15"/>
  <c r="BH289" i="15"/>
  <c r="BI289" i="15"/>
  <c r="BJ289" i="15"/>
  <c r="K290" i="15"/>
  <c r="AS290" i="15"/>
  <c r="AT290" i="15"/>
  <c r="AU290" i="15"/>
  <c r="K291" i="15"/>
  <c r="Z291" i="15"/>
  <c r="AB291" i="15"/>
  <c r="AC291" i="15"/>
  <c r="AD291" i="15"/>
  <c r="AE291" i="15"/>
  <c r="AF291" i="15"/>
  <c r="AG291" i="15"/>
  <c r="AH291" i="15"/>
  <c r="AJ291" i="15"/>
  <c r="AK291" i="15"/>
  <c r="AL291" i="15"/>
  <c r="AO291" i="15"/>
  <c r="AP291" i="15"/>
  <c r="AV291" i="15"/>
  <c r="AW291" i="15"/>
  <c r="AX291" i="15"/>
  <c r="BC291" i="15"/>
  <c r="BD291" i="15"/>
  <c r="BF291" i="15"/>
  <c r="BH291" i="15"/>
  <c r="BI291" i="15"/>
  <c r="BJ291" i="15"/>
  <c r="K292" i="15"/>
  <c r="Z292" i="15"/>
  <c r="AB292" i="15"/>
  <c r="AC292" i="15"/>
  <c r="AD292" i="15"/>
  <c r="AE292" i="15"/>
  <c r="AF292" i="15"/>
  <c r="AG292" i="15"/>
  <c r="AH292" i="15"/>
  <c r="AJ292" i="15"/>
  <c r="AK292" i="15"/>
  <c r="AL292" i="15"/>
  <c r="AO292" i="15"/>
  <c r="AP292" i="15"/>
  <c r="AV292" i="15"/>
  <c r="AW292" i="15"/>
  <c r="AX292" i="15"/>
  <c r="BC292" i="15"/>
  <c r="BD292" i="15"/>
  <c r="BF292" i="15"/>
  <c r="BH292" i="15"/>
  <c r="BI292" i="15"/>
  <c r="BJ292" i="15"/>
  <c r="K293" i="15"/>
  <c r="Z293" i="15"/>
  <c r="AB293" i="15"/>
  <c r="AC293" i="15"/>
  <c r="AD293" i="15"/>
  <c r="AE293" i="15"/>
  <c r="AF293" i="15"/>
  <c r="AG293" i="15"/>
  <c r="AH293" i="15"/>
  <c r="AJ293" i="15"/>
  <c r="AK293" i="15"/>
  <c r="AL293" i="15"/>
  <c r="AO293" i="15"/>
  <c r="AP293" i="15"/>
  <c r="AV293" i="15"/>
  <c r="AW293" i="15"/>
  <c r="AX293" i="15"/>
  <c r="BC293" i="15"/>
  <c r="BD293" i="15"/>
  <c r="BF293" i="15"/>
  <c r="BH293" i="15"/>
  <c r="BI293" i="15"/>
  <c r="BJ293" i="15"/>
  <c r="K294" i="15"/>
  <c r="Z294" i="15"/>
  <c r="AB294" i="15"/>
  <c r="AC294" i="15"/>
  <c r="AD294" i="15"/>
  <c r="AE294" i="15"/>
  <c r="AF294" i="15"/>
  <c r="AG294" i="15"/>
  <c r="AH294" i="15"/>
  <c r="AJ294" i="15"/>
  <c r="AK294" i="15"/>
  <c r="AL294" i="15"/>
  <c r="AO294" i="15"/>
  <c r="AP294" i="15"/>
  <c r="AV294" i="15"/>
  <c r="AW294" i="15"/>
  <c r="AX294" i="15"/>
  <c r="BC294" i="15"/>
  <c r="BD294" i="15"/>
  <c r="BF294" i="15"/>
  <c r="BH294" i="15"/>
  <c r="BI294" i="15"/>
  <c r="BJ294" i="15"/>
  <c r="K295" i="15"/>
  <c r="Z295" i="15"/>
  <c r="AB295" i="15"/>
  <c r="AC295" i="15"/>
  <c r="AD295" i="15"/>
  <c r="AE295" i="15"/>
  <c r="AF295" i="15"/>
  <c r="AG295" i="15"/>
  <c r="AH295" i="15"/>
  <c r="AJ295" i="15"/>
  <c r="AK295" i="15"/>
  <c r="AL295" i="15"/>
  <c r="AO295" i="15"/>
  <c r="AP295" i="15"/>
  <c r="AV295" i="15"/>
  <c r="AW295" i="15"/>
  <c r="AX295" i="15"/>
  <c r="BC295" i="15"/>
  <c r="BD295" i="15"/>
  <c r="BF295" i="15"/>
  <c r="BH295" i="15"/>
  <c r="BI295" i="15"/>
  <c r="BJ295" i="15"/>
  <c r="K296" i="15"/>
  <c r="Z296" i="15"/>
  <c r="AB296" i="15"/>
  <c r="AC296" i="15"/>
  <c r="AD296" i="15"/>
  <c r="AE296" i="15"/>
  <c r="AF296" i="15"/>
  <c r="AG296" i="15"/>
  <c r="AH296" i="15"/>
  <c r="AJ296" i="15"/>
  <c r="AK296" i="15"/>
  <c r="AL296" i="15"/>
  <c r="AO296" i="15"/>
  <c r="AP296" i="15"/>
  <c r="AV296" i="15"/>
  <c r="AW296" i="15"/>
  <c r="AX296" i="15"/>
  <c r="BC296" i="15"/>
  <c r="BD296" i="15"/>
  <c r="BF296" i="15"/>
  <c r="BH296" i="15"/>
  <c r="BI296" i="15"/>
  <c r="BJ296" i="15"/>
  <c r="K297" i="15"/>
  <c r="Z297" i="15"/>
  <c r="AB297" i="15"/>
  <c r="AC297" i="15"/>
  <c r="AD297" i="15"/>
  <c r="AE297" i="15"/>
  <c r="AF297" i="15"/>
  <c r="AG297" i="15"/>
  <c r="AH297" i="15"/>
  <c r="AJ297" i="15"/>
  <c r="AK297" i="15"/>
  <c r="AL297" i="15"/>
  <c r="AO297" i="15"/>
  <c r="AP297" i="15"/>
  <c r="AV297" i="15"/>
  <c r="AW297" i="15"/>
  <c r="AX297" i="15"/>
  <c r="BC297" i="15"/>
  <c r="BD297" i="15"/>
  <c r="BF297" i="15"/>
  <c r="BH297" i="15"/>
  <c r="BI297" i="15"/>
  <c r="BJ297" i="15"/>
  <c r="K298" i="15"/>
  <c r="Z298" i="15"/>
  <c r="AB298" i="15"/>
  <c r="AC298" i="15"/>
  <c r="AD298" i="15"/>
  <c r="AE298" i="15"/>
  <c r="AF298" i="15"/>
  <c r="AG298" i="15"/>
  <c r="AH298" i="15"/>
  <c r="AJ298" i="15"/>
  <c r="AK298" i="15"/>
  <c r="AL298" i="15"/>
  <c r="AO298" i="15"/>
  <c r="AP298" i="15"/>
  <c r="AV298" i="15"/>
  <c r="AW298" i="15"/>
  <c r="AX298" i="15"/>
  <c r="BC298" i="15"/>
  <c r="BD298" i="15"/>
  <c r="BF298" i="15"/>
  <c r="BH298" i="15"/>
  <c r="BI298" i="15"/>
  <c r="BJ298" i="15"/>
  <c r="K299" i="15"/>
  <c r="Z299" i="15"/>
  <c r="AB299" i="15"/>
  <c r="AC299" i="15"/>
  <c r="AD299" i="15"/>
  <c r="AE299" i="15"/>
  <c r="AF299" i="15"/>
  <c r="AG299" i="15"/>
  <c r="AH299" i="15"/>
  <c r="AJ299" i="15"/>
  <c r="AK299" i="15"/>
  <c r="AL299" i="15"/>
  <c r="AO299" i="15"/>
  <c r="AP299" i="15"/>
  <c r="AV299" i="15"/>
  <c r="AW299" i="15"/>
  <c r="AX299" i="15"/>
  <c r="BC299" i="15"/>
  <c r="BD299" i="15"/>
  <c r="BF299" i="15"/>
  <c r="BH299" i="15"/>
  <c r="BI299" i="15"/>
  <c r="BJ299" i="15"/>
  <c r="K300" i="15"/>
  <c r="Z300" i="15"/>
  <c r="AB300" i="15"/>
  <c r="AC300" i="15"/>
  <c r="AD300" i="15"/>
  <c r="AE300" i="15"/>
  <c r="AF300" i="15"/>
  <c r="AG300" i="15"/>
  <c r="AH300" i="15"/>
  <c r="AJ300" i="15"/>
  <c r="AK300" i="15"/>
  <c r="AL300" i="15"/>
  <c r="AO300" i="15"/>
  <c r="AP300" i="15"/>
  <c r="AV300" i="15"/>
  <c r="AW300" i="15"/>
  <c r="AX300" i="15"/>
  <c r="BC300" i="15"/>
  <c r="BD300" i="15"/>
  <c r="BF300" i="15"/>
  <c r="BH300" i="15"/>
  <c r="BI300" i="15"/>
  <c r="BJ300" i="15"/>
  <c r="K301" i="15"/>
  <c r="AS301" i="15"/>
  <c r="AT301" i="15"/>
  <c r="AU301" i="15"/>
  <c r="K302" i="15"/>
  <c r="Z302" i="15"/>
  <c r="AB302" i="15"/>
  <c r="AC302" i="15"/>
  <c r="AD302" i="15"/>
  <c r="AE302" i="15"/>
  <c r="AF302" i="15"/>
  <c r="AG302" i="15"/>
  <c r="AH302" i="15"/>
  <c r="AJ302" i="15"/>
  <c r="AK302" i="15"/>
  <c r="AL302" i="15"/>
  <c r="AO302" i="15"/>
  <c r="AP302" i="15"/>
  <c r="AV302" i="15"/>
  <c r="AW302" i="15"/>
  <c r="AX302" i="15"/>
  <c r="BC302" i="15"/>
  <c r="BD302" i="15"/>
  <c r="BF302" i="15"/>
  <c r="BH302" i="15"/>
  <c r="BI302" i="15"/>
  <c r="BJ302" i="15"/>
  <c r="K305" i="15"/>
  <c r="Z305" i="15"/>
  <c r="AB305" i="15"/>
  <c r="AC305" i="15"/>
  <c r="AD305" i="15"/>
  <c r="AE305" i="15"/>
  <c r="AF305" i="15"/>
  <c r="AG305" i="15"/>
  <c r="AH305" i="15"/>
  <c r="AJ305" i="15"/>
  <c r="AK305" i="15"/>
  <c r="AL305" i="15"/>
  <c r="AO305" i="15"/>
  <c r="AP305" i="15"/>
  <c r="AV305" i="15"/>
  <c r="AW305" i="15"/>
  <c r="AX305" i="15"/>
  <c r="BC305" i="15"/>
  <c r="BD305" i="15"/>
  <c r="BF305" i="15"/>
  <c r="BH305" i="15"/>
  <c r="BI305" i="15"/>
  <c r="BJ305" i="15"/>
  <c r="K310" i="15"/>
  <c r="Z310" i="15"/>
  <c r="AB310" i="15"/>
  <c r="AC310" i="15"/>
  <c r="AD310" i="15"/>
  <c r="AE310" i="15"/>
  <c r="AF310" i="15"/>
  <c r="AG310" i="15"/>
  <c r="AH310" i="15"/>
  <c r="AJ310" i="15"/>
  <c r="AK310" i="15"/>
  <c r="AL310" i="15"/>
  <c r="AO310" i="15"/>
  <c r="AP310" i="15"/>
  <c r="AV310" i="15"/>
  <c r="AW310" i="15"/>
  <c r="AX310" i="15"/>
  <c r="BC310" i="15"/>
  <c r="BD310" i="15"/>
  <c r="BF310" i="15"/>
  <c r="BH310" i="15"/>
  <c r="BI310" i="15"/>
  <c r="BJ310" i="15"/>
  <c r="K312" i="15"/>
  <c r="AS312" i="15"/>
  <c r="AT312" i="15"/>
  <c r="AU312" i="15"/>
  <c r="K313" i="15"/>
  <c r="Z313" i="15"/>
  <c r="AB313" i="15"/>
  <c r="AC313" i="15"/>
  <c r="AD313" i="15"/>
  <c r="AE313" i="15"/>
  <c r="AF313" i="15"/>
  <c r="AG313" i="15"/>
  <c r="AH313" i="15"/>
  <c r="AJ313" i="15"/>
  <c r="AK313" i="15"/>
  <c r="AL313" i="15"/>
  <c r="AO313" i="15"/>
  <c r="AP313" i="15"/>
  <c r="AV313" i="15"/>
  <c r="AW313" i="15"/>
  <c r="AX313" i="15"/>
  <c r="BC313" i="15"/>
  <c r="BD313" i="15"/>
  <c r="BF313" i="15"/>
  <c r="BH313" i="15"/>
  <c r="BI313" i="15"/>
  <c r="BJ313" i="15"/>
  <c r="K315" i="15"/>
  <c r="Z315" i="15"/>
  <c r="AB315" i="15"/>
  <c r="AC315" i="15"/>
  <c r="AD315" i="15"/>
  <c r="AE315" i="15"/>
  <c r="AF315" i="15"/>
  <c r="AG315" i="15"/>
  <c r="AH315" i="15"/>
  <c r="AJ315" i="15"/>
  <c r="AK315" i="15"/>
  <c r="AL315" i="15"/>
  <c r="AO315" i="15"/>
  <c r="AP315" i="15"/>
  <c r="AV315" i="15"/>
  <c r="AW315" i="15"/>
  <c r="AX315" i="15"/>
  <c r="BC315" i="15"/>
  <c r="BD315" i="15"/>
  <c r="BF315" i="15"/>
  <c r="BH315" i="15"/>
  <c r="BI315" i="15"/>
  <c r="BJ315" i="15"/>
  <c r="K327" i="15"/>
  <c r="Z327" i="15"/>
  <c r="AB327" i="15"/>
  <c r="AC327" i="15"/>
  <c r="AD327" i="15"/>
  <c r="AE327" i="15"/>
  <c r="AF327" i="15"/>
  <c r="AG327" i="15"/>
  <c r="AH327" i="15"/>
  <c r="AJ327" i="15"/>
  <c r="AK327" i="15"/>
  <c r="AL327" i="15"/>
  <c r="AO327" i="15"/>
  <c r="AP327" i="15"/>
  <c r="AV327" i="15"/>
  <c r="AW327" i="15"/>
  <c r="AX327" i="15"/>
  <c r="BC327" i="15"/>
  <c r="BD327" i="15"/>
  <c r="BF327" i="15"/>
  <c r="BH327" i="15"/>
  <c r="BI327" i="15"/>
  <c r="BJ327" i="15"/>
  <c r="K328" i="15"/>
  <c r="AS328" i="15"/>
  <c r="AT328" i="15"/>
  <c r="AU328" i="15"/>
  <c r="K329" i="15"/>
  <c r="Z329" i="15"/>
  <c r="AB329" i="15"/>
  <c r="AC329" i="15"/>
  <c r="AD329" i="15"/>
  <c r="AE329" i="15"/>
  <c r="AF329" i="15"/>
  <c r="AG329" i="15"/>
  <c r="AH329" i="15"/>
  <c r="AJ329" i="15"/>
  <c r="AK329" i="15"/>
  <c r="AL329" i="15"/>
  <c r="AO329" i="15"/>
  <c r="AP329" i="15"/>
  <c r="AV329" i="15"/>
  <c r="AW329" i="15"/>
  <c r="AX329" i="15"/>
  <c r="BC329" i="15"/>
  <c r="BD329" i="15"/>
  <c r="BF329" i="15"/>
  <c r="BH329" i="15"/>
  <c r="BI329" i="15"/>
  <c r="BJ329" i="15"/>
  <c r="K331" i="15"/>
  <c r="Z331" i="15"/>
  <c r="AB331" i="15"/>
  <c r="AC331" i="15"/>
  <c r="AD331" i="15"/>
  <c r="AE331" i="15"/>
  <c r="AF331" i="15"/>
  <c r="AG331" i="15"/>
  <c r="AH331" i="15"/>
  <c r="AJ331" i="15"/>
  <c r="AK331" i="15"/>
  <c r="AL331" i="15"/>
  <c r="AO331" i="15"/>
  <c r="AP331" i="15"/>
  <c r="AV331" i="15"/>
  <c r="AW331" i="15"/>
  <c r="AX331" i="15"/>
  <c r="BC331" i="15"/>
  <c r="BD331" i="15"/>
  <c r="BF331" i="15"/>
  <c r="BH331" i="15"/>
  <c r="BI331" i="15"/>
  <c r="BJ331" i="15"/>
  <c r="K334" i="15"/>
  <c r="Z334" i="15"/>
  <c r="AB334" i="15"/>
  <c r="AC334" i="15"/>
  <c r="AD334" i="15"/>
  <c r="AE334" i="15"/>
  <c r="AF334" i="15"/>
  <c r="AG334" i="15"/>
  <c r="AH334" i="15"/>
  <c r="AJ334" i="15"/>
  <c r="AK334" i="15"/>
  <c r="AL334" i="15"/>
  <c r="AO334" i="15"/>
  <c r="AP334" i="15"/>
  <c r="AV334" i="15"/>
  <c r="AW334" i="15"/>
  <c r="AX334" i="15"/>
  <c r="BC334" i="15"/>
  <c r="BD334" i="15"/>
  <c r="BF334" i="15"/>
  <c r="BH334" i="15"/>
  <c r="BI334" i="15"/>
  <c r="BJ334" i="15"/>
  <c r="K337" i="15"/>
  <c r="Z337" i="15"/>
  <c r="AB337" i="15"/>
  <c r="AC337" i="15"/>
  <c r="AD337" i="15"/>
  <c r="AE337" i="15"/>
  <c r="AF337" i="15"/>
  <c r="AG337" i="15"/>
  <c r="AH337" i="15"/>
  <c r="AJ337" i="15"/>
  <c r="AK337" i="15"/>
  <c r="AL337" i="15"/>
  <c r="AO337" i="15"/>
  <c r="AP337" i="15"/>
  <c r="AV337" i="15"/>
  <c r="AW337" i="15"/>
  <c r="AX337" i="15"/>
  <c r="BC337" i="15"/>
  <c r="BD337" i="15"/>
  <c r="BF337" i="15"/>
  <c r="BH337" i="15"/>
  <c r="BI337" i="15"/>
  <c r="BJ337" i="15"/>
  <c r="K344" i="15"/>
  <c r="Z344" i="15"/>
  <c r="AB344" i="15"/>
  <c r="AC344" i="15"/>
  <c r="AD344" i="15"/>
  <c r="AE344" i="15"/>
  <c r="AF344" i="15"/>
  <c r="AG344" i="15"/>
  <c r="AH344" i="15"/>
  <c r="AJ344" i="15"/>
  <c r="AK344" i="15"/>
  <c r="AL344" i="15"/>
  <c r="AO344" i="15"/>
  <c r="AP344" i="15"/>
  <c r="AV344" i="15"/>
  <c r="AW344" i="15"/>
  <c r="AX344" i="15"/>
  <c r="BC344" i="15"/>
  <c r="BD344" i="15"/>
  <c r="BF344" i="15"/>
  <c r="BH344" i="15"/>
  <c r="BI344" i="15"/>
  <c r="BJ344" i="15"/>
  <c r="K345" i="15"/>
  <c r="AS345" i="15"/>
  <c r="AT345" i="15"/>
  <c r="AU345" i="15"/>
  <c r="K346" i="15"/>
  <c r="Z346" i="15"/>
  <c r="AB346" i="15"/>
  <c r="AC346" i="15"/>
  <c r="AD346" i="15"/>
  <c r="AE346" i="15"/>
  <c r="AF346" i="15"/>
  <c r="AG346" i="15"/>
  <c r="AH346" i="15"/>
  <c r="AJ346" i="15"/>
  <c r="AK346" i="15"/>
  <c r="AL346" i="15"/>
  <c r="AO346" i="15"/>
  <c r="AP346" i="15"/>
  <c r="AV346" i="15"/>
  <c r="AW346" i="15"/>
  <c r="AX346" i="15"/>
  <c r="BC346" i="15"/>
  <c r="BD346" i="15"/>
  <c r="BF346" i="15"/>
  <c r="BH346" i="15"/>
  <c r="BI346" i="15"/>
  <c r="BJ346" i="15"/>
  <c r="K353" i="15"/>
  <c r="AS353" i="15"/>
  <c r="AT353" i="15"/>
  <c r="AU353" i="15"/>
  <c r="K354" i="15"/>
  <c r="Z354" i="15"/>
  <c r="AB354" i="15"/>
  <c r="AC354" i="15"/>
  <c r="AD354" i="15"/>
  <c r="AE354" i="15"/>
  <c r="AF354" i="15"/>
  <c r="AG354" i="15"/>
  <c r="AH354" i="15"/>
  <c r="AJ354" i="15"/>
  <c r="AK354" i="15"/>
  <c r="AL354" i="15"/>
  <c r="AO354" i="15"/>
  <c r="AP354" i="15"/>
  <c r="AV354" i="15"/>
  <c r="AW354" i="15"/>
  <c r="AX354" i="15"/>
  <c r="BC354" i="15"/>
  <c r="BD354" i="15"/>
  <c r="BF354" i="15"/>
  <c r="BH354" i="15"/>
  <c r="BI354" i="15"/>
  <c r="BJ354" i="15"/>
  <c r="K355" i="15"/>
  <c r="Z355" i="15"/>
  <c r="AB355" i="15"/>
  <c r="AC355" i="15"/>
  <c r="AD355" i="15"/>
  <c r="AE355" i="15"/>
  <c r="AF355" i="15"/>
  <c r="AG355" i="15"/>
  <c r="AH355" i="15"/>
  <c r="AJ355" i="15"/>
  <c r="AK355" i="15"/>
  <c r="AL355" i="15"/>
  <c r="AO355" i="15"/>
  <c r="AP355" i="15"/>
  <c r="AV355" i="15"/>
  <c r="AW355" i="15"/>
  <c r="AX355" i="15"/>
  <c r="BC355" i="15"/>
  <c r="BD355" i="15"/>
  <c r="BF355" i="15"/>
  <c r="BH355" i="15"/>
  <c r="BI355" i="15"/>
  <c r="BJ355" i="15"/>
  <c r="K356" i="15"/>
  <c r="Z356" i="15"/>
  <c r="AB356" i="15"/>
  <c r="AC356" i="15"/>
  <c r="AD356" i="15"/>
  <c r="AE356" i="15"/>
  <c r="AF356" i="15"/>
  <c r="AG356" i="15"/>
  <c r="AH356" i="15"/>
  <c r="AJ356" i="15"/>
  <c r="AK356" i="15"/>
  <c r="AL356" i="15"/>
  <c r="AO356" i="15"/>
  <c r="AP356" i="15"/>
  <c r="AV356" i="15"/>
  <c r="AW356" i="15"/>
  <c r="AX356" i="15"/>
  <c r="BC356" i="15"/>
  <c r="BD356" i="15"/>
  <c r="BF356" i="15"/>
  <c r="BH356" i="15"/>
  <c r="BI356" i="15"/>
  <c r="BJ356" i="15"/>
  <c r="K357" i="15"/>
  <c r="Z357" i="15"/>
  <c r="AB357" i="15"/>
  <c r="AC357" i="15"/>
  <c r="AD357" i="15"/>
  <c r="AE357" i="15"/>
  <c r="AF357" i="15"/>
  <c r="AG357" i="15"/>
  <c r="AH357" i="15"/>
  <c r="AJ357" i="15"/>
  <c r="AK357" i="15"/>
  <c r="AL357" i="15"/>
  <c r="AO357" i="15"/>
  <c r="AP357" i="15"/>
  <c r="AV357" i="15"/>
  <c r="AW357" i="15"/>
  <c r="AX357" i="15"/>
  <c r="BC357" i="15"/>
  <c r="BD357" i="15"/>
  <c r="BF357" i="15"/>
  <c r="BH357" i="15"/>
  <c r="BI357" i="15"/>
  <c r="BJ357" i="15"/>
  <c r="K358" i="15"/>
  <c r="Z358" i="15"/>
  <c r="AB358" i="15"/>
  <c r="AC358" i="15"/>
  <c r="AD358" i="15"/>
  <c r="AE358" i="15"/>
  <c r="AF358" i="15"/>
  <c r="AG358" i="15"/>
  <c r="AH358" i="15"/>
  <c r="AJ358" i="15"/>
  <c r="AK358" i="15"/>
  <c r="AL358" i="15"/>
  <c r="AO358" i="15"/>
  <c r="AP358" i="15"/>
  <c r="AV358" i="15"/>
  <c r="AW358" i="15"/>
  <c r="AX358" i="15"/>
  <c r="BC358" i="15"/>
  <c r="BD358" i="15"/>
  <c r="BF358" i="15"/>
  <c r="BH358" i="15"/>
  <c r="BI358" i="15"/>
  <c r="BJ358" i="15"/>
  <c r="K359" i="15"/>
  <c r="Z359" i="15"/>
  <c r="AB359" i="15"/>
  <c r="AC359" i="15"/>
  <c r="AD359" i="15"/>
  <c r="AE359" i="15"/>
  <c r="AF359" i="15"/>
  <c r="AG359" i="15"/>
  <c r="AH359" i="15"/>
  <c r="AJ359" i="15"/>
  <c r="AK359" i="15"/>
  <c r="AL359" i="15"/>
  <c r="AO359" i="15"/>
  <c r="AP359" i="15"/>
  <c r="AV359" i="15"/>
  <c r="AW359" i="15"/>
  <c r="AX359" i="15"/>
  <c r="BC359" i="15"/>
  <c r="BD359" i="15"/>
  <c r="BF359" i="15"/>
  <c r="BH359" i="15"/>
  <c r="BI359" i="15"/>
  <c r="BJ359" i="15"/>
  <c r="K360" i="15"/>
  <c r="Z360" i="15"/>
  <c r="AB360" i="15"/>
  <c r="AC360" i="15"/>
  <c r="AD360" i="15"/>
  <c r="AE360" i="15"/>
  <c r="AF360" i="15"/>
  <c r="AG360" i="15"/>
  <c r="AH360" i="15"/>
  <c r="AJ360" i="15"/>
  <c r="AK360" i="15"/>
  <c r="AL360" i="15"/>
  <c r="AO360" i="15"/>
  <c r="AP360" i="15"/>
  <c r="AV360" i="15"/>
  <c r="AW360" i="15"/>
  <c r="AX360" i="15"/>
  <c r="BC360" i="15"/>
  <c r="BD360" i="15"/>
  <c r="BF360" i="15"/>
  <c r="BH360" i="15"/>
  <c r="BI360" i="15"/>
  <c r="BJ360" i="15"/>
  <c r="K361" i="15"/>
  <c r="Z361" i="15"/>
  <c r="AB361" i="15"/>
  <c r="AC361" i="15"/>
  <c r="AD361" i="15"/>
  <c r="AE361" i="15"/>
  <c r="AF361" i="15"/>
  <c r="AG361" i="15"/>
  <c r="AH361" i="15"/>
  <c r="AJ361" i="15"/>
  <c r="AK361" i="15"/>
  <c r="AL361" i="15"/>
  <c r="AO361" i="15"/>
  <c r="AP361" i="15"/>
  <c r="AV361" i="15"/>
  <c r="AW361" i="15"/>
  <c r="AX361" i="15"/>
  <c r="BC361" i="15"/>
  <c r="BD361" i="15"/>
  <c r="BF361" i="15"/>
  <c r="BH361" i="15"/>
  <c r="BI361" i="15"/>
  <c r="BJ361" i="15"/>
  <c r="K362" i="15"/>
  <c r="Z362" i="15"/>
  <c r="AB362" i="15"/>
  <c r="AC362" i="15"/>
  <c r="AD362" i="15"/>
  <c r="AE362" i="15"/>
  <c r="AF362" i="15"/>
  <c r="AG362" i="15"/>
  <c r="AH362" i="15"/>
  <c r="AJ362" i="15"/>
  <c r="AK362" i="15"/>
  <c r="AL362" i="15"/>
  <c r="AO362" i="15"/>
  <c r="AP362" i="15"/>
  <c r="AV362" i="15"/>
  <c r="AW362" i="15"/>
  <c r="AX362" i="15"/>
  <c r="BC362" i="15"/>
  <c r="BD362" i="15"/>
  <c r="BF362" i="15"/>
  <c r="BH362" i="15"/>
  <c r="BI362" i="15"/>
  <c r="BJ362" i="15"/>
  <c r="K363" i="15"/>
  <c r="Z363" i="15"/>
  <c r="AB363" i="15"/>
  <c r="AC363" i="15"/>
  <c r="AD363" i="15"/>
  <c r="AE363" i="15"/>
  <c r="AF363" i="15"/>
  <c r="AG363" i="15"/>
  <c r="AH363" i="15"/>
  <c r="AJ363" i="15"/>
  <c r="AK363" i="15"/>
  <c r="AL363" i="15"/>
  <c r="AO363" i="15"/>
  <c r="AP363" i="15"/>
  <c r="AV363" i="15"/>
  <c r="AW363" i="15"/>
  <c r="AX363" i="15"/>
  <c r="BC363" i="15"/>
  <c r="BD363" i="15"/>
  <c r="BF363" i="15"/>
  <c r="BH363" i="15"/>
  <c r="BI363" i="15"/>
  <c r="BJ363" i="15"/>
  <c r="K364" i="15"/>
  <c r="Z364" i="15"/>
  <c r="AB364" i="15"/>
  <c r="AC364" i="15"/>
  <c r="AD364" i="15"/>
  <c r="AE364" i="15"/>
  <c r="AF364" i="15"/>
  <c r="AG364" i="15"/>
  <c r="AH364" i="15"/>
  <c r="AJ364" i="15"/>
  <c r="AK364" i="15"/>
  <c r="AL364" i="15"/>
  <c r="AO364" i="15"/>
  <c r="AP364" i="15"/>
  <c r="AV364" i="15"/>
  <c r="AW364" i="15"/>
  <c r="AX364" i="15"/>
  <c r="BC364" i="15"/>
  <c r="BD364" i="15"/>
  <c r="BF364" i="15"/>
  <c r="BH364" i="15"/>
  <c r="BI364" i="15"/>
  <c r="BJ364" i="15"/>
  <c r="K365" i="15"/>
  <c r="Z365" i="15"/>
  <c r="AB365" i="15"/>
  <c r="AC365" i="15"/>
  <c r="AD365" i="15"/>
  <c r="AE365" i="15"/>
  <c r="AF365" i="15"/>
  <c r="AG365" i="15"/>
  <c r="AH365" i="15"/>
  <c r="AJ365" i="15"/>
  <c r="AK365" i="15"/>
  <c r="AL365" i="15"/>
  <c r="AO365" i="15"/>
  <c r="AP365" i="15"/>
  <c r="AV365" i="15"/>
  <c r="AW365" i="15"/>
  <c r="AX365" i="15"/>
  <c r="BC365" i="15"/>
  <c r="BD365" i="15"/>
  <c r="BF365" i="15"/>
  <c r="BH365" i="15"/>
  <c r="BI365" i="15"/>
  <c r="BJ365" i="15"/>
  <c r="K366" i="15"/>
  <c r="Z366" i="15"/>
  <c r="AB366" i="15"/>
  <c r="AC366" i="15"/>
  <c r="AD366" i="15"/>
  <c r="AE366" i="15"/>
  <c r="AF366" i="15"/>
  <c r="AG366" i="15"/>
  <c r="AH366" i="15"/>
  <c r="AJ366" i="15"/>
  <c r="AK366" i="15"/>
  <c r="AL366" i="15"/>
  <c r="AO366" i="15"/>
  <c r="AP366" i="15"/>
  <c r="AV366" i="15"/>
  <c r="AW366" i="15"/>
  <c r="AX366" i="15"/>
  <c r="BC366" i="15"/>
  <c r="BD366" i="15"/>
  <c r="BF366" i="15"/>
  <c r="BH366" i="15"/>
  <c r="BI366" i="15"/>
  <c r="BJ366" i="15"/>
  <c r="K367" i="15"/>
  <c r="Z367" i="15"/>
  <c r="AB367" i="15"/>
  <c r="AC367" i="15"/>
  <c r="AD367" i="15"/>
  <c r="AE367" i="15"/>
  <c r="AF367" i="15"/>
  <c r="AG367" i="15"/>
  <c r="AH367" i="15"/>
  <c r="AJ367" i="15"/>
  <c r="AK367" i="15"/>
  <c r="AL367" i="15"/>
  <c r="AO367" i="15"/>
  <c r="AP367" i="15"/>
  <c r="AV367" i="15"/>
  <c r="AW367" i="15"/>
  <c r="AX367" i="15"/>
  <c r="BC367" i="15"/>
  <c r="BD367" i="15"/>
  <c r="BF367" i="15"/>
  <c r="BH367" i="15"/>
  <c r="BI367" i="15"/>
  <c r="BJ367" i="15"/>
  <c r="K368" i="15"/>
  <c r="Z368" i="15"/>
  <c r="AB368" i="15"/>
  <c r="AC368" i="15"/>
  <c r="AD368" i="15"/>
  <c r="AE368" i="15"/>
  <c r="AF368" i="15"/>
  <c r="AG368" i="15"/>
  <c r="AH368" i="15"/>
  <c r="AJ368" i="15"/>
  <c r="AK368" i="15"/>
  <c r="AL368" i="15"/>
  <c r="AO368" i="15"/>
  <c r="AP368" i="15"/>
  <c r="AV368" i="15"/>
  <c r="AW368" i="15"/>
  <c r="AX368" i="15"/>
  <c r="BC368" i="15"/>
  <c r="BD368" i="15"/>
  <c r="BF368" i="15"/>
  <c r="BH368" i="15"/>
  <c r="BI368" i="15"/>
  <c r="BJ368" i="15"/>
  <c r="K369" i="15"/>
  <c r="Z369" i="15"/>
  <c r="AB369" i="15"/>
  <c r="AC369" i="15"/>
  <c r="AD369" i="15"/>
  <c r="AE369" i="15"/>
  <c r="AF369" i="15"/>
  <c r="AG369" i="15"/>
  <c r="AH369" i="15"/>
  <c r="AJ369" i="15"/>
  <c r="AK369" i="15"/>
  <c r="AL369" i="15"/>
  <c r="AO369" i="15"/>
  <c r="AP369" i="15"/>
  <c r="AV369" i="15"/>
  <c r="AW369" i="15"/>
  <c r="AX369" i="15"/>
  <c r="BC369" i="15"/>
  <c r="BD369" i="15"/>
  <c r="BF369" i="15"/>
  <c r="BH369" i="15"/>
  <c r="BI369" i="15"/>
  <c r="BJ369" i="15"/>
  <c r="K370" i="15"/>
  <c r="Z370" i="15"/>
  <c r="AB370" i="15"/>
  <c r="AC370" i="15"/>
  <c r="AD370" i="15"/>
  <c r="AE370" i="15"/>
  <c r="AF370" i="15"/>
  <c r="AG370" i="15"/>
  <c r="AH370" i="15"/>
  <c r="AJ370" i="15"/>
  <c r="AK370" i="15"/>
  <c r="AL370" i="15"/>
  <c r="AO370" i="15"/>
  <c r="AP370" i="15"/>
  <c r="AV370" i="15"/>
  <c r="AW370" i="15"/>
  <c r="AX370" i="15"/>
  <c r="BC370" i="15"/>
  <c r="BD370" i="15"/>
  <c r="BF370" i="15"/>
  <c r="BH370" i="15"/>
  <c r="BI370" i="15"/>
  <c r="BJ370" i="15"/>
  <c r="K371" i="15"/>
  <c r="Z371" i="15"/>
  <c r="AB371" i="15"/>
  <c r="AC371" i="15"/>
  <c r="AD371" i="15"/>
  <c r="AE371" i="15"/>
  <c r="AF371" i="15"/>
  <c r="AG371" i="15"/>
  <c r="AH371" i="15"/>
  <c r="AJ371" i="15"/>
  <c r="AK371" i="15"/>
  <c r="AL371" i="15"/>
  <c r="AO371" i="15"/>
  <c r="AP371" i="15"/>
  <c r="AV371" i="15"/>
  <c r="AW371" i="15"/>
  <c r="AX371" i="15"/>
  <c r="BC371" i="15"/>
  <c r="BD371" i="15"/>
  <c r="BF371" i="15"/>
  <c r="BH371" i="15"/>
  <c r="BI371" i="15"/>
  <c r="BJ371" i="15"/>
  <c r="K372" i="15"/>
  <c r="Z372" i="15"/>
  <c r="AB372" i="15"/>
  <c r="AC372" i="15"/>
  <c r="AD372" i="15"/>
  <c r="AE372" i="15"/>
  <c r="AF372" i="15"/>
  <c r="AG372" i="15"/>
  <c r="AH372" i="15"/>
  <c r="AJ372" i="15"/>
  <c r="AK372" i="15"/>
  <c r="AL372" i="15"/>
  <c r="AO372" i="15"/>
  <c r="AP372" i="15"/>
  <c r="AV372" i="15"/>
  <c r="AW372" i="15"/>
  <c r="AX372" i="15"/>
  <c r="BC372" i="15"/>
  <c r="BD372" i="15"/>
  <c r="BF372" i="15"/>
  <c r="BH372" i="15"/>
  <c r="BI372" i="15"/>
  <c r="BJ372" i="15"/>
  <c r="K373" i="15"/>
  <c r="Z373" i="15"/>
  <c r="AB373" i="15"/>
  <c r="AC373" i="15"/>
  <c r="AD373" i="15"/>
  <c r="AE373" i="15"/>
  <c r="AF373" i="15"/>
  <c r="AG373" i="15"/>
  <c r="AH373" i="15"/>
  <c r="AJ373" i="15"/>
  <c r="AK373" i="15"/>
  <c r="AL373" i="15"/>
  <c r="AO373" i="15"/>
  <c r="AP373" i="15"/>
  <c r="AV373" i="15"/>
  <c r="AW373" i="15"/>
  <c r="AX373" i="15"/>
  <c r="BC373" i="15"/>
  <c r="BD373" i="15"/>
  <c r="BF373" i="15"/>
  <c r="BH373" i="15"/>
  <c r="BI373" i="15"/>
  <c r="BJ373" i="15"/>
  <c r="K374" i="15"/>
  <c r="AS374" i="15"/>
  <c r="AT374" i="15"/>
  <c r="AU374" i="15"/>
  <c r="K375" i="15"/>
  <c r="Z375" i="15"/>
  <c r="AB375" i="15"/>
  <c r="AC375" i="15"/>
  <c r="AD375" i="15"/>
  <c r="AE375" i="15"/>
  <c r="AF375" i="15"/>
  <c r="AG375" i="15"/>
  <c r="AH375" i="15"/>
  <c r="AJ375" i="15"/>
  <c r="AK375" i="15"/>
  <c r="AL375" i="15"/>
  <c r="AO375" i="15"/>
  <c r="AP375" i="15"/>
  <c r="AV375" i="15"/>
  <c r="AW375" i="15"/>
  <c r="AX375" i="15"/>
  <c r="BC375" i="15"/>
  <c r="BD375" i="15"/>
  <c r="BF375" i="15"/>
  <c r="BH375" i="15"/>
  <c r="BI375" i="15"/>
  <c r="BJ375" i="15"/>
  <c r="K380" i="15"/>
  <c r="Z380" i="15"/>
  <c r="AB380" i="15"/>
  <c r="AC380" i="15"/>
  <c r="AD380" i="15"/>
  <c r="AE380" i="15"/>
  <c r="AF380" i="15"/>
  <c r="AG380" i="15"/>
  <c r="AH380" i="15"/>
  <c r="AJ380" i="15"/>
  <c r="AK380" i="15"/>
  <c r="AL380" i="15"/>
  <c r="AO380" i="15"/>
  <c r="AP380" i="15"/>
  <c r="AV380" i="15"/>
  <c r="AW380" i="15"/>
  <c r="AX380" i="15"/>
  <c r="BC380" i="15"/>
  <c r="BD380" i="15"/>
  <c r="BF380" i="15"/>
  <c r="BH380" i="15"/>
  <c r="BI380" i="15"/>
  <c r="BJ380" i="15"/>
  <c r="K382" i="15"/>
  <c r="Z382" i="15"/>
  <c r="AB382" i="15"/>
  <c r="AC382" i="15"/>
  <c r="AD382" i="15"/>
  <c r="AE382" i="15"/>
  <c r="AF382" i="15"/>
  <c r="AG382" i="15"/>
  <c r="AH382" i="15"/>
  <c r="AJ382" i="15"/>
  <c r="AK382" i="15"/>
  <c r="AL382" i="15"/>
  <c r="AO382" i="15"/>
  <c r="AP382" i="15"/>
  <c r="AV382" i="15"/>
  <c r="AW382" i="15"/>
  <c r="AX382" i="15"/>
  <c r="BC382" i="15"/>
  <c r="BD382" i="15"/>
  <c r="BF382" i="15"/>
  <c r="BH382" i="15"/>
  <c r="BI382" i="15"/>
  <c r="BJ382" i="15"/>
  <c r="K385" i="15"/>
  <c r="Z385" i="15"/>
  <c r="AB385" i="15"/>
  <c r="AC385" i="15"/>
  <c r="AD385" i="15"/>
  <c r="AE385" i="15"/>
  <c r="AF385" i="15"/>
  <c r="AG385" i="15"/>
  <c r="AH385" i="15"/>
  <c r="AJ385" i="15"/>
  <c r="AK385" i="15"/>
  <c r="AL385" i="15"/>
  <c r="AO385" i="15"/>
  <c r="AP385" i="15"/>
  <c r="AV385" i="15"/>
  <c r="AW385" i="15"/>
  <c r="AX385" i="15"/>
  <c r="BC385" i="15"/>
  <c r="BD385" i="15"/>
  <c r="BF385" i="15"/>
  <c r="BH385" i="15"/>
  <c r="BI385" i="15"/>
  <c r="BJ385" i="15"/>
  <c r="K388" i="15"/>
  <c r="AS388" i="15"/>
  <c r="AT388" i="15"/>
  <c r="AU388" i="15"/>
  <c r="K389" i="15"/>
  <c r="Z389" i="15"/>
  <c r="AB389" i="15"/>
  <c r="AC389" i="15"/>
  <c r="AD389" i="15"/>
  <c r="AE389" i="15"/>
  <c r="AF389" i="15"/>
  <c r="AG389" i="15"/>
  <c r="AH389" i="15"/>
  <c r="AJ389" i="15"/>
  <c r="AK389" i="15"/>
  <c r="AL389" i="15"/>
  <c r="AO389" i="15"/>
  <c r="AP389" i="15"/>
  <c r="AV389" i="15"/>
  <c r="AW389" i="15"/>
  <c r="AX389" i="15"/>
  <c r="BC389" i="15"/>
  <c r="BD389" i="15"/>
  <c r="BF389" i="15"/>
  <c r="BH389" i="15"/>
  <c r="BI389" i="15"/>
  <c r="BJ389" i="15"/>
  <c r="K392" i="15"/>
  <c r="Z392" i="15"/>
  <c r="AB392" i="15"/>
  <c r="AC392" i="15"/>
  <c r="AD392" i="15"/>
  <c r="AE392" i="15"/>
  <c r="AF392" i="15"/>
  <c r="AG392" i="15"/>
  <c r="AH392" i="15"/>
  <c r="AJ392" i="15"/>
  <c r="AK392" i="15"/>
  <c r="AL392" i="15"/>
  <c r="AO392" i="15"/>
  <c r="AP392" i="15"/>
  <c r="AV392" i="15"/>
  <c r="AW392" i="15"/>
  <c r="AX392" i="15"/>
  <c r="BC392" i="15"/>
  <c r="BD392" i="15"/>
  <c r="BF392" i="15"/>
  <c r="BH392" i="15"/>
  <c r="BI392" i="15"/>
  <c r="BJ392" i="15"/>
  <c r="K395" i="15"/>
  <c r="Z395" i="15"/>
  <c r="AB395" i="15"/>
  <c r="AC395" i="15"/>
  <c r="AD395" i="15"/>
  <c r="AE395" i="15"/>
  <c r="AF395" i="15"/>
  <c r="AG395" i="15"/>
  <c r="AH395" i="15"/>
  <c r="AJ395" i="15"/>
  <c r="AK395" i="15"/>
  <c r="AL395" i="15"/>
  <c r="AO395" i="15"/>
  <c r="AP395" i="15"/>
  <c r="AV395" i="15"/>
  <c r="AW395" i="15"/>
  <c r="AX395" i="15"/>
  <c r="BC395" i="15"/>
  <c r="BD395" i="15"/>
  <c r="BF395" i="15"/>
  <c r="BH395" i="15"/>
  <c r="BI395" i="15"/>
  <c r="BJ395" i="15"/>
  <c r="K398" i="15"/>
  <c r="AS398" i="15"/>
  <c r="AT398" i="15"/>
  <c r="AU398" i="15"/>
  <c r="K399" i="15"/>
  <c r="Z399" i="15"/>
  <c r="AB399" i="15"/>
  <c r="AC399" i="15"/>
  <c r="AD399" i="15"/>
  <c r="AE399" i="15"/>
  <c r="AF399" i="15"/>
  <c r="AG399" i="15"/>
  <c r="AH399" i="15"/>
  <c r="AJ399" i="15"/>
  <c r="AK399" i="15"/>
  <c r="AL399" i="15"/>
  <c r="AO399" i="15"/>
  <c r="AP399" i="15"/>
  <c r="AV399" i="15"/>
  <c r="AW399" i="15"/>
  <c r="AX399" i="15"/>
  <c r="BC399" i="15"/>
  <c r="BD399" i="15"/>
  <c r="BF399" i="15"/>
  <c r="BH399" i="15"/>
  <c r="BI399" i="15"/>
  <c r="BJ399" i="15"/>
  <c r="K403" i="15"/>
  <c r="Z403" i="15"/>
  <c r="AB403" i="15"/>
  <c r="AC403" i="15"/>
  <c r="AD403" i="15"/>
  <c r="AE403" i="15"/>
  <c r="AF403" i="15"/>
  <c r="AG403" i="15"/>
  <c r="AH403" i="15"/>
  <c r="AJ403" i="15"/>
  <c r="AK403" i="15"/>
  <c r="AL403" i="15"/>
  <c r="AO403" i="15"/>
  <c r="AP403" i="15"/>
  <c r="AV403" i="15"/>
  <c r="AW403" i="15"/>
  <c r="AX403" i="15"/>
  <c r="BC403" i="15"/>
  <c r="BD403" i="15"/>
  <c r="BF403" i="15"/>
  <c r="BH403" i="15"/>
  <c r="BI403" i="15"/>
  <c r="BJ403" i="15"/>
  <c r="K406" i="15"/>
  <c r="Z406" i="15"/>
  <c r="AB406" i="15"/>
  <c r="AC406" i="15"/>
  <c r="AD406" i="15"/>
  <c r="AE406" i="15"/>
  <c r="AF406" i="15"/>
  <c r="AG406" i="15"/>
  <c r="AH406" i="15"/>
  <c r="AJ406" i="15"/>
  <c r="AK406" i="15"/>
  <c r="AL406" i="15"/>
  <c r="AO406" i="15"/>
  <c r="AP406" i="15"/>
  <c r="AV406" i="15"/>
  <c r="AW406" i="15"/>
  <c r="AX406" i="15"/>
  <c r="BC406" i="15"/>
  <c r="BD406" i="15"/>
  <c r="BF406" i="15"/>
  <c r="BH406" i="15"/>
  <c r="BI406" i="15"/>
  <c r="BJ406" i="15"/>
  <c r="K409" i="15"/>
  <c r="Z409" i="15"/>
  <c r="AB409" i="15"/>
  <c r="AC409" i="15"/>
  <c r="AD409" i="15"/>
  <c r="AE409" i="15"/>
  <c r="AF409" i="15"/>
  <c r="AG409" i="15"/>
  <c r="AH409" i="15"/>
  <c r="AJ409" i="15"/>
  <c r="AK409" i="15"/>
  <c r="AL409" i="15"/>
  <c r="AO409" i="15"/>
  <c r="AP409" i="15"/>
  <c r="AV409" i="15"/>
  <c r="AW409" i="15"/>
  <c r="AX409" i="15"/>
  <c r="BC409" i="15"/>
  <c r="BD409" i="15"/>
  <c r="BF409" i="15"/>
  <c r="BH409" i="15"/>
  <c r="BI409" i="15"/>
  <c r="BJ409" i="15"/>
  <c r="K413" i="15"/>
  <c r="AS413" i="15"/>
  <c r="AT413" i="15"/>
  <c r="AU413" i="15"/>
  <c r="K414" i="15"/>
  <c r="Z414" i="15"/>
  <c r="AB414" i="15"/>
  <c r="AC414" i="15"/>
  <c r="AD414" i="15"/>
  <c r="AE414" i="15"/>
  <c r="AF414" i="15"/>
  <c r="AG414" i="15"/>
  <c r="AH414" i="15"/>
  <c r="AJ414" i="15"/>
  <c r="AK414" i="15"/>
  <c r="AL414" i="15"/>
  <c r="AO414" i="15"/>
  <c r="AP414" i="15"/>
  <c r="AV414" i="15"/>
  <c r="AW414" i="15"/>
  <c r="AX414" i="15"/>
  <c r="BC414" i="15"/>
  <c r="BD414" i="15"/>
  <c r="BF414" i="15"/>
  <c r="BH414" i="15"/>
  <c r="BI414" i="15"/>
  <c r="BJ414" i="15"/>
  <c r="K418" i="15"/>
  <c r="Z418" i="15"/>
  <c r="AB418" i="15"/>
  <c r="AC418" i="15"/>
  <c r="AD418" i="15"/>
  <c r="AE418" i="15"/>
  <c r="AF418" i="15"/>
  <c r="AG418" i="15"/>
  <c r="AH418" i="15"/>
  <c r="AJ418" i="15"/>
  <c r="AK418" i="15"/>
  <c r="AL418" i="15"/>
  <c r="AO418" i="15"/>
  <c r="AP418" i="15"/>
  <c r="AV418" i="15"/>
  <c r="AW418" i="15"/>
  <c r="AX418" i="15"/>
  <c r="BC418" i="15"/>
  <c r="BD418" i="15"/>
  <c r="BF418" i="15"/>
  <c r="BH418" i="15"/>
  <c r="BI418" i="15"/>
  <c r="BJ418" i="15"/>
  <c r="K427" i="15"/>
  <c r="AS427" i="15"/>
  <c r="AT427" i="15"/>
  <c r="AU427" i="15"/>
  <c r="K428" i="15"/>
  <c r="Z428" i="15"/>
  <c r="AB428" i="15"/>
  <c r="AC428" i="15"/>
  <c r="AD428" i="15"/>
  <c r="AE428" i="15"/>
  <c r="AF428" i="15"/>
  <c r="AG428" i="15"/>
  <c r="AH428" i="15"/>
  <c r="AJ428" i="15"/>
  <c r="AK428" i="15"/>
  <c r="AL428" i="15"/>
  <c r="AO428" i="15"/>
  <c r="AP428" i="15"/>
  <c r="AV428" i="15"/>
  <c r="AW428" i="15"/>
  <c r="AX428" i="15"/>
  <c r="BC428" i="15"/>
  <c r="BD428" i="15"/>
  <c r="BF428" i="15"/>
  <c r="BH428" i="15"/>
  <c r="BI428" i="15"/>
  <c r="BJ428" i="15"/>
  <c r="K429" i="15"/>
  <c r="AS429" i="15"/>
  <c r="AT429" i="15"/>
  <c r="AU429" i="15"/>
  <c r="K430" i="15"/>
  <c r="Z430" i="15"/>
  <c r="AB430" i="15"/>
  <c r="AC430" i="15"/>
  <c r="AD430" i="15"/>
  <c r="AE430" i="15"/>
  <c r="AF430" i="15"/>
  <c r="AG430" i="15"/>
  <c r="AH430" i="15"/>
  <c r="AJ430" i="15"/>
  <c r="AK430" i="15"/>
  <c r="AL430" i="15"/>
  <c r="AO430" i="15"/>
  <c r="AP430" i="15"/>
  <c r="AV430" i="15"/>
  <c r="AW430" i="15"/>
  <c r="AX430" i="15"/>
  <c r="BC430" i="15"/>
  <c r="BD430" i="15"/>
  <c r="BF430" i="15"/>
  <c r="BH430" i="15"/>
  <c r="BI430" i="15"/>
  <c r="BJ430" i="15"/>
  <c r="K439" i="15"/>
  <c r="Z439" i="15"/>
  <c r="AB439" i="15"/>
  <c r="AC439" i="15"/>
  <c r="AD439" i="15"/>
  <c r="AE439" i="15"/>
  <c r="AF439" i="15"/>
  <c r="AG439" i="15"/>
  <c r="AH439" i="15"/>
  <c r="AJ439" i="15"/>
  <c r="AK439" i="15"/>
  <c r="AL439" i="15"/>
  <c r="AO439" i="15"/>
  <c r="AP439" i="15"/>
  <c r="AV439" i="15"/>
  <c r="AW439" i="15"/>
  <c r="AX439" i="15"/>
  <c r="BC439" i="15"/>
  <c r="BD439" i="15"/>
  <c r="BF439" i="15"/>
  <c r="BH439" i="15"/>
  <c r="BI439" i="15"/>
  <c r="BJ439" i="15"/>
  <c r="K441" i="15"/>
  <c r="Z441" i="15"/>
  <c r="AB441" i="15"/>
  <c r="AC441" i="15"/>
  <c r="AD441" i="15"/>
  <c r="AE441" i="15"/>
  <c r="AF441" i="15"/>
  <c r="AG441" i="15"/>
  <c r="AH441" i="15"/>
  <c r="AJ441" i="15"/>
  <c r="AK441" i="15"/>
  <c r="AL441" i="15"/>
  <c r="AO441" i="15"/>
  <c r="AP441" i="15"/>
  <c r="AV441" i="15"/>
  <c r="AW441" i="15"/>
  <c r="AX441" i="15"/>
  <c r="BC441" i="15"/>
  <c r="BD441" i="15"/>
  <c r="BF441" i="15"/>
  <c r="BH441" i="15"/>
  <c r="BI441" i="15"/>
  <c r="BJ441" i="15"/>
  <c r="K443" i="15"/>
  <c r="Z443" i="15"/>
  <c r="AB443" i="15"/>
  <c r="AC443" i="15"/>
  <c r="AD443" i="15"/>
  <c r="AE443" i="15"/>
  <c r="AF443" i="15"/>
  <c r="AG443" i="15"/>
  <c r="AH443" i="15"/>
  <c r="AJ443" i="15"/>
  <c r="AK443" i="15"/>
  <c r="AL443" i="15"/>
  <c r="AO443" i="15"/>
  <c r="AP443" i="15"/>
  <c r="AV443" i="15"/>
  <c r="AW443" i="15"/>
  <c r="AX443" i="15"/>
  <c r="BC443" i="15"/>
  <c r="BD443" i="15"/>
  <c r="BF443" i="15"/>
  <c r="BH443" i="15"/>
  <c r="BI443" i="15"/>
  <c r="BJ443" i="15"/>
  <c r="K444" i="15"/>
  <c r="AS444" i="15"/>
  <c r="AT444" i="15"/>
  <c r="AU444" i="15"/>
  <c r="K445" i="15"/>
  <c r="Z445" i="15"/>
  <c r="AB445" i="15"/>
  <c r="AC445" i="15"/>
  <c r="AD445" i="15"/>
  <c r="AE445" i="15"/>
  <c r="AF445" i="15"/>
  <c r="AG445" i="15"/>
  <c r="AH445" i="15"/>
  <c r="AJ445" i="15"/>
  <c r="AK445" i="15"/>
  <c r="AL445" i="15"/>
  <c r="AO445" i="15"/>
  <c r="AP445" i="15"/>
  <c r="AV445" i="15"/>
  <c r="AW445" i="15"/>
  <c r="AX445" i="15"/>
  <c r="BC445" i="15"/>
  <c r="BD445" i="15"/>
  <c r="BF445" i="15"/>
  <c r="BH445" i="15"/>
  <c r="BI445" i="15"/>
  <c r="BJ445" i="15"/>
  <c r="K454" i="15"/>
  <c r="Z454" i="15"/>
  <c r="AB454" i="15"/>
  <c r="AC454" i="15"/>
  <c r="AD454" i="15"/>
  <c r="AE454" i="15"/>
  <c r="AF454" i="15"/>
  <c r="AG454" i="15"/>
  <c r="AH454" i="15"/>
  <c r="AJ454" i="15"/>
  <c r="AK454" i="15"/>
  <c r="AL454" i="15"/>
  <c r="AO454" i="15"/>
  <c r="AP454" i="15"/>
  <c r="AV454" i="15"/>
  <c r="AW454" i="15"/>
  <c r="AX454" i="15"/>
  <c r="BC454" i="15"/>
  <c r="BD454" i="15"/>
  <c r="BF454" i="15"/>
  <c r="BH454" i="15"/>
  <c r="BI454" i="15"/>
  <c r="BJ454" i="15"/>
  <c r="K463" i="15"/>
  <c r="AS463" i="15"/>
  <c r="AT463" i="15"/>
  <c r="AU463" i="15"/>
  <c r="K464" i="15"/>
  <c r="Z464" i="15"/>
  <c r="AB464" i="15"/>
  <c r="AC464" i="15"/>
  <c r="AD464" i="15"/>
  <c r="AE464" i="15"/>
  <c r="AF464" i="15"/>
  <c r="AG464" i="15"/>
  <c r="AH464" i="15"/>
  <c r="AJ464" i="15"/>
  <c r="AK464" i="15"/>
  <c r="AL464" i="15"/>
  <c r="AO464" i="15"/>
  <c r="AP464" i="15"/>
  <c r="AV464" i="15"/>
  <c r="AW464" i="15"/>
  <c r="AX464" i="15"/>
  <c r="BC464" i="15"/>
  <c r="BD464" i="15"/>
  <c r="BF464" i="15"/>
  <c r="BH464" i="15"/>
  <c r="BI464" i="15"/>
  <c r="BJ464" i="15"/>
  <c r="K466" i="15"/>
  <c r="Z466" i="15"/>
  <c r="AB466" i="15"/>
  <c r="AC466" i="15"/>
  <c r="AD466" i="15"/>
  <c r="AE466" i="15"/>
  <c r="AF466" i="15"/>
  <c r="AG466" i="15"/>
  <c r="AH466" i="15"/>
  <c r="AJ466" i="15"/>
  <c r="AK466" i="15"/>
  <c r="AL466" i="15"/>
  <c r="AO466" i="15"/>
  <c r="AP466" i="15"/>
  <c r="AV466" i="15"/>
  <c r="AW466" i="15"/>
  <c r="AX466" i="15"/>
  <c r="BC466" i="15"/>
  <c r="BD466" i="15"/>
  <c r="BF466" i="15"/>
  <c r="BH466" i="15"/>
  <c r="BI466" i="15"/>
  <c r="BJ466" i="15"/>
  <c r="K468" i="15"/>
  <c r="Z468" i="15"/>
  <c r="AB468" i="15"/>
  <c r="AC468" i="15"/>
  <c r="AD468" i="15"/>
  <c r="AE468" i="15"/>
  <c r="AF468" i="15"/>
  <c r="AG468" i="15"/>
  <c r="AH468" i="15"/>
  <c r="AJ468" i="15"/>
  <c r="AK468" i="15"/>
  <c r="AL468" i="15"/>
  <c r="AO468" i="15"/>
  <c r="AP468" i="15"/>
  <c r="AV468" i="15"/>
  <c r="AW468" i="15"/>
  <c r="AX468" i="15"/>
  <c r="BC468" i="15"/>
  <c r="BD468" i="15"/>
  <c r="BF468" i="15"/>
  <c r="BH468" i="15"/>
  <c r="BI468" i="15"/>
  <c r="BJ468" i="15"/>
  <c r="K478" i="15"/>
  <c r="Z478" i="15"/>
  <c r="AB478" i="15"/>
  <c r="AC478" i="15"/>
  <c r="AD478" i="15"/>
  <c r="AE478" i="15"/>
  <c r="AF478" i="15"/>
  <c r="AG478" i="15"/>
  <c r="AH478" i="15"/>
  <c r="AJ478" i="15"/>
  <c r="AK478" i="15"/>
  <c r="AL478" i="15"/>
  <c r="AO478" i="15"/>
  <c r="AP478" i="15"/>
  <c r="AV478" i="15"/>
  <c r="AW478" i="15"/>
  <c r="AX478" i="15"/>
  <c r="BC478" i="15"/>
  <c r="BD478" i="15"/>
  <c r="BF478" i="15"/>
  <c r="BH478" i="15"/>
  <c r="BI478" i="15"/>
  <c r="BJ478" i="15"/>
  <c r="K480" i="15"/>
  <c r="Z480" i="15"/>
  <c r="AB480" i="15"/>
  <c r="AC480" i="15"/>
  <c r="AD480" i="15"/>
  <c r="AE480" i="15"/>
  <c r="AF480" i="15"/>
  <c r="AG480" i="15"/>
  <c r="AH480" i="15"/>
  <c r="AJ480" i="15"/>
  <c r="AK480" i="15"/>
  <c r="AL480" i="15"/>
  <c r="AO480" i="15"/>
  <c r="AP480" i="15"/>
  <c r="AV480" i="15"/>
  <c r="AW480" i="15"/>
  <c r="AX480" i="15"/>
  <c r="BC480" i="15"/>
  <c r="BD480" i="15"/>
  <c r="BF480" i="15"/>
  <c r="BH480" i="15"/>
  <c r="BI480" i="15"/>
  <c r="BJ480" i="15"/>
  <c r="K483" i="15"/>
  <c r="Z483" i="15"/>
  <c r="AB483" i="15"/>
  <c r="AC483" i="15"/>
  <c r="AD483" i="15"/>
  <c r="AE483" i="15"/>
  <c r="AF483" i="15"/>
  <c r="AG483" i="15"/>
  <c r="AH483" i="15"/>
  <c r="AJ483" i="15"/>
  <c r="AK483" i="15"/>
  <c r="AL483" i="15"/>
  <c r="AO483" i="15"/>
  <c r="AP483" i="15"/>
  <c r="AV483" i="15"/>
  <c r="AW483" i="15"/>
  <c r="AX483" i="15"/>
  <c r="BC483" i="15"/>
  <c r="BD483" i="15"/>
  <c r="BF483" i="15"/>
  <c r="BH483" i="15"/>
  <c r="BI483" i="15"/>
  <c r="BJ483" i="15"/>
  <c r="K485" i="15"/>
  <c r="AS485" i="15"/>
  <c r="AT485" i="15"/>
  <c r="AU485" i="15"/>
  <c r="K486" i="15"/>
  <c r="Z486" i="15"/>
  <c r="AB486" i="15"/>
  <c r="AC486" i="15"/>
  <c r="AD486" i="15"/>
  <c r="AE486" i="15"/>
  <c r="AF486" i="15"/>
  <c r="AG486" i="15"/>
  <c r="AH486" i="15"/>
  <c r="AJ486" i="15"/>
  <c r="AK486" i="15"/>
  <c r="AL486" i="15"/>
  <c r="AO486" i="15"/>
  <c r="AP486" i="15"/>
  <c r="AV486" i="15"/>
  <c r="AW486" i="15"/>
  <c r="AX486" i="15"/>
  <c r="BC486" i="15"/>
  <c r="BD486" i="15"/>
  <c r="BF486" i="15"/>
  <c r="BH486" i="15"/>
  <c r="BI486" i="15"/>
  <c r="BJ486" i="15"/>
  <c r="K490" i="15"/>
  <c r="Z490" i="15"/>
  <c r="AB490" i="15"/>
  <c r="AC490" i="15"/>
  <c r="AD490" i="15"/>
  <c r="AE490" i="15"/>
  <c r="AF490" i="15"/>
  <c r="AG490" i="15"/>
  <c r="AH490" i="15"/>
  <c r="AJ490" i="15"/>
  <c r="AK490" i="15"/>
  <c r="AL490" i="15"/>
  <c r="AO490" i="15"/>
  <c r="AP490" i="15"/>
  <c r="AV490" i="15"/>
  <c r="AW490" i="15"/>
  <c r="AX490" i="15"/>
  <c r="BC490" i="15"/>
  <c r="BD490" i="15"/>
  <c r="BF490" i="15"/>
  <c r="BH490" i="15"/>
  <c r="BI490" i="15"/>
  <c r="BJ490" i="15"/>
  <c r="K491" i="15"/>
  <c r="Z491" i="15"/>
  <c r="AB491" i="15"/>
  <c r="AC491" i="15"/>
  <c r="AD491" i="15"/>
  <c r="AE491" i="15"/>
  <c r="AF491" i="15"/>
  <c r="AG491" i="15"/>
  <c r="AH491" i="15"/>
  <c r="AJ491" i="15"/>
  <c r="AK491" i="15"/>
  <c r="AL491" i="15"/>
  <c r="AO491" i="15"/>
  <c r="AP491" i="15"/>
  <c r="AV491" i="15"/>
  <c r="AW491" i="15"/>
  <c r="AX491" i="15"/>
  <c r="BC491" i="15"/>
  <c r="BD491" i="15"/>
  <c r="BF491" i="15"/>
  <c r="BH491" i="15"/>
  <c r="BI491" i="15"/>
  <c r="BJ491" i="15"/>
  <c r="K492" i="15"/>
  <c r="Z492" i="15"/>
  <c r="AB492" i="15"/>
  <c r="AC492" i="15"/>
  <c r="AD492" i="15"/>
  <c r="AE492" i="15"/>
  <c r="AF492" i="15"/>
  <c r="AG492" i="15"/>
  <c r="AH492" i="15"/>
  <c r="AJ492" i="15"/>
  <c r="AK492" i="15"/>
  <c r="AL492" i="15"/>
  <c r="AO492" i="15"/>
  <c r="AP492" i="15"/>
  <c r="AV492" i="15"/>
  <c r="AW492" i="15"/>
  <c r="AX492" i="15"/>
  <c r="BC492" i="15"/>
  <c r="BD492" i="15"/>
  <c r="BF492" i="15"/>
  <c r="BH492" i="15"/>
  <c r="BI492" i="15"/>
  <c r="BJ492" i="15"/>
  <c r="K493" i="15"/>
  <c r="Z493" i="15"/>
  <c r="AB493" i="15"/>
  <c r="AC493" i="15"/>
  <c r="AD493" i="15"/>
  <c r="AE493" i="15"/>
  <c r="AF493" i="15"/>
  <c r="AG493" i="15"/>
  <c r="AH493" i="15"/>
  <c r="AJ493" i="15"/>
  <c r="AK493" i="15"/>
  <c r="AL493" i="15"/>
  <c r="AO493" i="15"/>
  <c r="AP493" i="15"/>
  <c r="AV493" i="15"/>
  <c r="AW493" i="15"/>
  <c r="AX493" i="15"/>
  <c r="BC493" i="15"/>
  <c r="BD493" i="15"/>
  <c r="BF493" i="15"/>
  <c r="BH493" i="15"/>
  <c r="BI493" i="15"/>
  <c r="BJ493" i="15"/>
  <c r="K494" i="15"/>
  <c r="Z494" i="15"/>
  <c r="AB494" i="15"/>
  <c r="AC494" i="15"/>
  <c r="AD494" i="15"/>
  <c r="AE494" i="15"/>
  <c r="AF494" i="15"/>
  <c r="AG494" i="15"/>
  <c r="AH494" i="15"/>
  <c r="AJ494" i="15"/>
  <c r="AK494" i="15"/>
  <c r="AL494" i="15"/>
  <c r="AO494" i="15"/>
  <c r="AP494" i="15"/>
  <c r="AV494" i="15"/>
  <c r="AW494" i="15"/>
  <c r="AX494" i="15"/>
  <c r="BC494" i="15"/>
  <c r="BD494" i="15"/>
  <c r="BF494" i="15"/>
  <c r="BH494" i="15"/>
  <c r="BI494" i="15"/>
  <c r="BJ494" i="15"/>
  <c r="K495" i="15"/>
  <c r="Z495" i="15"/>
  <c r="AB495" i="15"/>
  <c r="AC495" i="15"/>
  <c r="AD495" i="15"/>
  <c r="AE495" i="15"/>
  <c r="AF495" i="15"/>
  <c r="AG495" i="15"/>
  <c r="AH495" i="15"/>
  <c r="AJ495" i="15"/>
  <c r="AK495" i="15"/>
  <c r="AL495" i="15"/>
  <c r="AO495" i="15"/>
  <c r="AP495" i="15"/>
  <c r="AV495" i="15"/>
  <c r="AW495" i="15"/>
  <c r="AX495" i="15"/>
  <c r="BC495" i="15"/>
  <c r="BD495" i="15"/>
  <c r="BF495" i="15"/>
  <c r="BH495" i="15"/>
  <c r="BI495" i="15"/>
  <c r="BJ495" i="15"/>
  <c r="K498" i="15"/>
  <c r="Z498" i="15"/>
  <c r="AB498" i="15"/>
  <c r="AC498" i="15"/>
  <c r="AD498" i="15"/>
  <c r="AE498" i="15"/>
  <c r="AF498" i="15"/>
  <c r="AG498" i="15"/>
  <c r="AH498" i="15"/>
  <c r="AJ498" i="15"/>
  <c r="AK498" i="15"/>
  <c r="AL498" i="15"/>
  <c r="AO498" i="15"/>
  <c r="AP498" i="15"/>
  <c r="AV498" i="15"/>
  <c r="AW498" i="15"/>
  <c r="AX498" i="15"/>
  <c r="BC498" i="15"/>
  <c r="BD498" i="15"/>
  <c r="BF498" i="15"/>
  <c r="BH498" i="15"/>
  <c r="BI498" i="15"/>
  <c r="BJ498" i="15"/>
  <c r="K500" i="15"/>
  <c r="AS500" i="15"/>
  <c r="AT500" i="15"/>
  <c r="AU500" i="15"/>
  <c r="K501" i="15"/>
  <c r="Z501" i="15"/>
  <c r="AB501" i="15"/>
  <c r="AC501" i="15"/>
  <c r="AD501" i="15"/>
  <c r="AE501" i="15"/>
  <c r="AF501" i="15"/>
  <c r="AG501" i="15"/>
  <c r="AH501" i="15"/>
  <c r="AJ501" i="15"/>
  <c r="AK501" i="15"/>
  <c r="AL501" i="15"/>
  <c r="AO501" i="15"/>
  <c r="AP501" i="15"/>
  <c r="AV501" i="15"/>
  <c r="AW501" i="15"/>
  <c r="AX501" i="15"/>
  <c r="BC501" i="15"/>
  <c r="BD501" i="15"/>
  <c r="BF501" i="15"/>
  <c r="BH501" i="15"/>
  <c r="BI501" i="15"/>
  <c r="BJ501" i="15"/>
  <c r="K502" i="15"/>
  <c r="Z502" i="15"/>
  <c r="AB502" i="15"/>
  <c r="AC502" i="15"/>
  <c r="AD502" i="15"/>
  <c r="AE502" i="15"/>
  <c r="AF502" i="15"/>
  <c r="AG502" i="15"/>
  <c r="AH502" i="15"/>
  <c r="AJ502" i="15"/>
  <c r="AK502" i="15"/>
  <c r="AL502" i="15"/>
  <c r="AO502" i="15"/>
  <c r="AP502" i="15"/>
  <c r="AV502" i="15"/>
  <c r="AW502" i="15"/>
  <c r="AX502" i="15"/>
  <c r="BC502" i="15"/>
  <c r="BD502" i="15"/>
  <c r="BF502" i="15"/>
  <c r="BH502" i="15"/>
  <c r="BI502" i="15"/>
  <c r="BJ502" i="15"/>
  <c r="K503" i="15"/>
  <c r="AS503" i="15"/>
  <c r="AT503" i="15"/>
  <c r="AU503" i="15"/>
  <c r="K504" i="15"/>
  <c r="Z504" i="15"/>
  <c r="AB504" i="15"/>
  <c r="AC504" i="15"/>
  <c r="AD504" i="15"/>
  <c r="AE504" i="15"/>
  <c r="AF504" i="15"/>
  <c r="AG504" i="15"/>
  <c r="AH504" i="15"/>
  <c r="AJ504" i="15"/>
  <c r="AK504" i="15"/>
  <c r="AL504" i="15"/>
  <c r="AO504" i="15"/>
  <c r="AP504" i="15"/>
  <c r="AV504" i="15"/>
  <c r="AW504" i="15"/>
  <c r="AX504" i="15"/>
  <c r="BC504" i="15"/>
  <c r="BD504" i="15"/>
  <c r="BF504" i="15"/>
  <c r="BH504" i="15"/>
  <c r="BI504" i="15"/>
  <c r="BJ504" i="15"/>
  <c r="K505" i="15"/>
  <c r="AS505" i="15"/>
  <c r="AT505" i="15"/>
  <c r="AU505" i="15"/>
  <c r="K506" i="15"/>
  <c r="Z506" i="15"/>
  <c r="AB506" i="15"/>
  <c r="AC506" i="15"/>
  <c r="AD506" i="15"/>
  <c r="AE506" i="15"/>
  <c r="AF506" i="15"/>
  <c r="AG506" i="15"/>
  <c r="AH506" i="15"/>
  <c r="AJ506" i="15"/>
  <c r="AK506" i="15"/>
  <c r="AL506" i="15"/>
  <c r="AO506" i="15"/>
  <c r="AP506" i="15"/>
  <c r="AV506" i="15"/>
  <c r="AW506" i="15"/>
  <c r="AX506" i="15"/>
  <c r="BC506" i="15"/>
  <c r="BD506" i="15"/>
  <c r="BF506" i="15"/>
  <c r="BH506" i="15"/>
  <c r="BI506" i="15"/>
  <c r="BJ506" i="15"/>
  <c r="K507" i="15"/>
  <c r="Z507" i="15"/>
  <c r="AB507" i="15"/>
  <c r="AC507" i="15"/>
  <c r="AD507" i="15"/>
  <c r="AE507" i="15"/>
  <c r="AF507" i="15"/>
  <c r="AG507" i="15"/>
  <c r="AH507" i="15"/>
  <c r="AJ507" i="15"/>
  <c r="AK507" i="15"/>
  <c r="AL507" i="15"/>
  <c r="AO507" i="15"/>
  <c r="AP507" i="15"/>
  <c r="AV507" i="15"/>
  <c r="AW507" i="15"/>
  <c r="AX507" i="15"/>
  <c r="BC507" i="15"/>
  <c r="BD507" i="15"/>
  <c r="BF507" i="15"/>
  <c r="BH507" i="15"/>
  <c r="BI507" i="15"/>
  <c r="BJ507" i="15"/>
  <c r="K508" i="15"/>
  <c r="Z508" i="15"/>
  <c r="AB508" i="15"/>
  <c r="AC508" i="15"/>
  <c r="AD508" i="15"/>
  <c r="AE508" i="15"/>
  <c r="AF508" i="15"/>
  <c r="AG508" i="15"/>
  <c r="AH508" i="15"/>
  <c r="AJ508" i="15"/>
  <c r="AK508" i="15"/>
  <c r="AL508" i="15"/>
  <c r="AO508" i="15"/>
  <c r="AP508" i="15"/>
  <c r="AV508" i="15"/>
  <c r="AW508" i="15"/>
  <c r="AX508" i="15"/>
  <c r="BC508" i="15"/>
  <c r="BD508" i="15"/>
  <c r="BF508" i="15"/>
  <c r="BH508" i="15"/>
  <c r="BI508" i="15"/>
  <c r="BJ508" i="15"/>
  <c r="K509" i="15"/>
  <c r="Z509" i="15"/>
  <c r="AB509" i="15"/>
  <c r="AC509" i="15"/>
  <c r="AD509" i="15"/>
  <c r="AE509" i="15"/>
  <c r="AF509" i="15"/>
  <c r="AG509" i="15"/>
  <c r="AH509" i="15"/>
  <c r="AJ509" i="15"/>
  <c r="AK509" i="15"/>
  <c r="AL509" i="15"/>
  <c r="AO509" i="15"/>
  <c r="AP509" i="15"/>
  <c r="AV509" i="15"/>
  <c r="AW509" i="15"/>
  <c r="AX509" i="15"/>
  <c r="BC509" i="15"/>
  <c r="BD509" i="15"/>
  <c r="BF509" i="15"/>
  <c r="BH509" i="15"/>
  <c r="BI509" i="15"/>
  <c r="BJ509" i="15"/>
  <c r="K510" i="15"/>
  <c r="Z510" i="15"/>
  <c r="AB510" i="15"/>
  <c r="AC510" i="15"/>
  <c r="AD510" i="15"/>
  <c r="AE510" i="15"/>
  <c r="AF510" i="15"/>
  <c r="AG510" i="15"/>
  <c r="AH510" i="15"/>
  <c r="AJ510" i="15"/>
  <c r="AK510" i="15"/>
  <c r="AL510" i="15"/>
  <c r="AO510" i="15"/>
  <c r="AP510" i="15"/>
  <c r="AV510" i="15"/>
  <c r="AW510" i="15"/>
  <c r="AX510" i="15"/>
  <c r="BC510" i="15"/>
  <c r="BD510" i="15"/>
  <c r="BF510" i="15"/>
  <c r="BH510" i="15"/>
  <c r="BI510" i="15"/>
  <c r="BJ510" i="15"/>
  <c r="K511" i="15"/>
  <c r="Z511" i="15"/>
  <c r="AB511" i="15"/>
  <c r="AC511" i="15"/>
  <c r="AD511" i="15"/>
  <c r="AE511" i="15"/>
  <c r="AF511" i="15"/>
  <c r="AG511" i="15"/>
  <c r="AH511" i="15"/>
  <c r="AJ511" i="15"/>
  <c r="AK511" i="15"/>
  <c r="AL511" i="15"/>
  <c r="AO511" i="15"/>
  <c r="AP511" i="15"/>
  <c r="AV511" i="15"/>
  <c r="AW511" i="15"/>
  <c r="AX511" i="15"/>
  <c r="BC511" i="15"/>
  <c r="BD511" i="15"/>
  <c r="BF511" i="15"/>
  <c r="BH511" i="15"/>
  <c r="BI511" i="15"/>
  <c r="BJ511" i="15"/>
  <c r="K512" i="15"/>
  <c r="K513" i="15"/>
  <c r="AS513" i="15"/>
  <c r="AT513" i="15"/>
  <c r="AU513" i="15"/>
  <c r="K514" i="15"/>
  <c r="Z514" i="15"/>
  <c r="AB514" i="15"/>
  <c r="AC514" i="15"/>
  <c r="AD514" i="15"/>
  <c r="AE514" i="15"/>
  <c r="AF514" i="15"/>
  <c r="AG514" i="15"/>
  <c r="AH514" i="15"/>
  <c r="AJ514" i="15"/>
  <c r="AK514" i="15"/>
  <c r="AL514" i="15"/>
  <c r="AO514" i="15"/>
  <c r="AP514" i="15"/>
  <c r="AV514" i="15"/>
  <c r="AW514" i="15"/>
  <c r="AX514" i="15"/>
  <c r="BC514" i="15"/>
  <c r="BD514" i="15"/>
  <c r="BF514" i="15"/>
  <c r="BH514" i="15"/>
  <c r="BI514" i="15"/>
  <c r="BJ514" i="15"/>
  <c r="K517" i="15"/>
  <c r="K518" i="15"/>
  <c r="AS518" i="15"/>
  <c r="AT518" i="15"/>
  <c r="AU518" i="15"/>
  <c r="K519" i="15"/>
  <c r="Z519" i="15"/>
  <c r="AB519" i="15"/>
  <c r="AC519" i="15"/>
  <c r="AD519" i="15"/>
  <c r="AE519" i="15"/>
  <c r="AF519" i="15"/>
  <c r="AG519" i="15"/>
  <c r="AH519" i="15"/>
  <c r="AJ519" i="15"/>
  <c r="AK519" i="15"/>
  <c r="AL519" i="15"/>
  <c r="AO519" i="15"/>
  <c r="AP519" i="15"/>
  <c r="AV519" i="15"/>
  <c r="AW519" i="15"/>
  <c r="AX519" i="15"/>
  <c r="BC519" i="15"/>
  <c r="BD519" i="15"/>
  <c r="BF519" i="15"/>
  <c r="BH519" i="15"/>
  <c r="BI519" i="15"/>
  <c r="BJ519" i="15"/>
  <c r="K521" i="15"/>
  <c r="Z521" i="15"/>
  <c r="AB521" i="15"/>
  <c r="AC521" i="15"/>
  <c r="AD521" i="15"/>
  <c r="AE521" i="15"/>
  <c r="AF521" i="15"/>
  <c r="AG521" i="15"/>
  <c r="AH521" i="15"/>
  <c r="AJ521" i="15"/>
  <c r="AK521" i="15"/>
  <c r="AL521" i="15"/>
  <c r="AO521" i="15"/>
  <c r="AP521" i="15"/>
  <c r="AV521" i="15"/>
  <c r="AW521" i="15"/>
  <c r="AX521" i="15"/>
  <c r="BC521" i="15"/>
  <c r="BD521" i="15"/>
  <c r="BF521" i="15"/>
  <c r="BH521" i="15"/>
  <c r="BI521" i="15"/>
  <c r="BJ521" i="15"/>
  <c r="K524" i="15"/>
  <c r="AS524" i="15"/>
  <c r="AT524" i="15"/>
  <c r="AU524" i="15"/>
  <c r="K525" i="15"/>
  <c r="Z525" i="15"/>
  <c r="AB525" i="15"/>
  <c r="AC525" i="15"/>
  <c r="AD525" i="15"/>
  <c r="AE525" i="15"/>
  <c r="AF525" i="15"/>
  <c r="AG525" i="15"/>
  <c r="AH525" i="15"/>
  <c r="AJ525" i="15"/>
  <c r="AK525" i="15"/>
  <c r="AL525" i="15"/>
  <c r="AO525" i="15"/>
  <c r="AP525" i="15"/>
  <c r="AV525" i="15"/>
  <c r="AW525" i="15"/>
  <c r="AX525" i="15"/>
  <c r="BC525" i="15"/>
  <c r="BD525" i="15"/>
  <c r="BF525" i="15"/>
  <c r="BH525" i="15"/>
  <c r="BI525" i="15"/>
  <c r="BJ525" i="15"/>
  <c r="K526" i="15"/>
  <c r="AS526" i="15"/>
  <c r="AT526" i="15"/>
  <c r="AU526" i="15"/>
  <c r="K527" i="15"/>
  <c r="Z527" i="15"/>
  <c r="AB527" i="15"/>
  <c r="AC527" i="15"/>
  <c r="AD527" i="15"/>
  <c r="AE527" i="15"/>
  <c r="AF527" i="15"/>
  <c r="AG527" i="15"/>
  <c r="AH527" i="15"/>
  <c r="AJ527" i="15"/>
  <c r="AK527" i="15"/>
  <c r="AL527" i="15"/>
  <c r="AO527" i="15"/>
  <c r="AP527" i="15"/>
  <c r="AV527" i="15"/>
  <c r="AW527" i="15"/>
  <c r="AX527" i="15"/>
  <c r="BC527" i="15"/>
  <c r="BD527" i="15"/>
  <c r="BF527" i="15"/>
  <c r="BH527" i="15"/>
  <c r="BI527" i="15"/>
  <c r="BJ527" i="15"/>
  <c r="K528" i="15"/>
  <c r="K529" i="15"/>
  <c r="AS529" i="15"/>
  <c r="AT529" i="15"/>
  <c r="AU529" i="15"/>
  <c r="K530" i="15"/>
  <c r="Z530" i="15"/>
  <c r="AB530" i="15"/>
  <c r="AC530" i="15"/>
  <c r="AD530" i="15"/>
  <c r="AE530" i="15"/>
  <c r="AF530" i="15"/>
  <c r="AG530" i="15"/>
  <c r="AH530" i="15"/>
  <c r="AJ530" i="15"/>
  <c r="AK530" i="15"/>
  <c r="AL530" i="15"/>
  <c r="AO530" i="15"/>
  <c r="AP530" i="15"/>
  <c r="AV530" i="15"/>
  <c r="AW530" i="15"/>
  <c r="AX530" i="15"/>
  <c r="BC530" i="15"/>
  <c r="BD530" i="15"/>
  <c r="BF530" i="15"/>
  <c r="BH530" i="15"/>
  <c r="BI530" i="15"/>
  <c r="BJ530" i="15"/>
  <c r="K532" i="15"/>
  <c r="AS532" i="15"/>
  <c r="AT532" i="15"/>
  <c r="AU532" i="15"/>
  <c r="K533" i="15"/>
  <c r="Z533" i="15"/>
  <c r="AB533" i="15"/>
  <c r="AC533" i="15"/>
  <c r="AD533" i="15"/>
  <c r="AE533" i="15"/>
  <c r="AF533" i="15"/>
  <c r="AG533" i="15"/>
  <c r="AH533" i="15"/>
  <c r="AJ533" i="15"/>
  <c r="AK533" i="15"/>
  <c r="AL533" i="15"/>
  <c r="AO533" i="15"/>
  <c r="AP533" i="15"/>
  <c r="AV533" i="15"/>
  <c r="AW533" i="15"/>
  <c r="AX533" i="15"/>
  <c r="BC533" i="15"/>
  <c r="BD533" i="15"/>
  <c r="BF533" i="15"/>
  <c r="BH533" i="15"/>
  <c r="BI533" i="15"/>
  <c r="BJ533" i="15"/>
  <c r="K534" i="15"/>
  <c r="AS534" i="15"/>
  <c r="AT534" i="15"/>
  <c r="AU534" i="15"/>
  <c r="K535" i="15"/>
  <c r="Z535" i="15"/>
  <c r="AB535" i="15"/>
  <c r="AC535" i="15"/>
  <c r="AD535" i="15"/>
  <c r="AE535" i="15"/>
  <c r="AF535" i="15"/>
  <c r="AG535" i="15"/>
  <c r="AH535" i="15"/>
  <c r="AJ535" i="15"/>
  <c r="AK535" i="15"/>
  <c r="AL535" i="15"/>
  <c r="AO535" i="15"/>
  <c r="AP535" i="15"/>
  <c r="AV535" i="15"/>
  <c r="AW535" i="15"/>
  <c r="AX535" i="15"/>
  <c r="BC535" i="15"/>
  <c r="BD535" i="15"/>
  <c r="BF535" i="15"/>
  <c r="BH535" i="15"/>
  <c r="BI535" i="15"/>
  <c r="BJ535" i="15"/>
  <c r="K537" i="15"/>
  <c r="AS537" i="15"/>
  <c r="AT537" i="15"/>
  <c r="AU537" i="15"/>
  <c r="K538" i="15"/>
  <c r="Z538" i="15"/>
  <c r="AB538" i="15"/>
  <c r="AC538" i="15"/>
  <c r="AD538" i="15"/>
  <c r="AE538" i="15"/>
  <c r="AF538" i="15"/>
  <c r="AG538" i="15"/>
  <c r="AH538" i="15"/>
  <c r="AJ538" i="15"/>
  <c r="AK538" i="15"/>
  <c r="AL538" i="15"/>
  <c r="AO538" i="15"/>
  <c r="AP538" i="15"/>
  <c r="AV538" i="15"/>
  <c r="AW538" i="15"/>
  <c r="AX538" i="15"/>
  <c r="BC538" i="15"/>
  <c r="BD538" i="15"/>
  <c r="BF538" i="15"/>
  <c r="BH538" i="15"/>
  <c r="BI538" i="15"/>
  <c r="BJ538" i="15"/>
  <c r="K539" i="15"/>
  <c r="AS539" i="15"/>
  <c r="AT539" i="15"/>
  <c r="AU539" i="15"/>
  <c r="K540" i="15"/>
  <c r="Z540" i="15"/>
  <c r="AB540" i="15"/>
  <c r="AC540" i="15"/>
  <c r="AD540" i="15"/>
  <c r="AE540" i="15"/>
  <c r="AF540" i="15"/>
  <c r="AG540" i="15"/>
  <c r="AH540" i="15"/>
  <c r="AJ540" i="15"/>
  <c r="AK540" i="15"/>
  <c r="AL540" i="15"/>
  <c r="AO540" i="15"/>
  <c r="AP540" i="15"/>
  <c r="AV540" i="15"/>
  <c r="AW540" i="15"/>
  <c r="AX540" i="15"/>
  <c r="BC540" i="15"/>
  <c r="BD540" i="15"/>
  <c r="BF540" i="15"/>
  <c r="BH540" i="15"/>
  <c r="BI540" i="15"/>
  <c r="BJ540" i="15"/>
  <c r="K541" i="15"/>
  <c r="Z541" i="15"/>
  <c r="AB541" i="15"/>
  <c r="AC541" i="15"/>
  <c r="AD541" i="15"/>
  <c r="AE541" i="15"/>
  <c r="AF541" i="15"/>
  <c r="AG541" i="15"/>
  <c r="AH541" i="15"/>
  <c r="AJ541" i="15"/>
  <c r="AK541" i="15"/>
  <c r="AL541" i="15"/>
  <c r="AO541" i="15"/>
  <c r="AP541" i="15"/>
  <c r="AV541" i="15"/>
  <c r="AW541" i="15"/>
  <c r="AX541" i="15"/>
  <c r="BC541" i="15"/>
  <c r="BD541" i="15"/>
  <c r="BF541" i="15"/>
  <c r="BH541" i="15"/>
  <c r="BI541" i="15"/>
  <c r="BJ541" i="15"/>
  <c r="K542" i="15"/>
  <c r="K543" i="15"/>
  <c r="AS543" i="15"/>
  <c r="AT543" i="15"/>
  <c r="AU543" i="15"/>
  <c r="K544" i="15"/>
  <c r="Z544" i="15"/>
  <c r="AB544" i="15"/>
  <c r="AC544" i="15"/>
  <c r="AD544" i="15"/>
  <c r="AE544" i="15"/>
  <c r="AF544" i="15"/>
  <c r="AG544" i="15"/>
  <c r="AH544" i="15"/>
  <c r="AJ544" i="15"/>
  <c r="AK544" i="15"/>
  <c r="AL544" i="15"/>
  <c r="AO544" i="15"/>
  <c r="AP544" i="15"/>
  <c r="AV544" i="15"/>
  <c r="AW544" i="15"/>
  <c r="AX544" i="15"/>
  <c r="BC544" i="15"/>
  <c r="BD544" i="15"/>
  <c r="BF544" i="15"/>
  <c r="BH544" i="15"/>
  <c r="BI544" i="15"/>
  <c r="BJ544" i="15"/>
  <c r="K546" i="15"/>
  <c r="K547" i="15"/>
  <c r="AS547" i="15"/>
  <c r="AT547" i="15"/>
  <c r="AU547" i="15"/>
  <c r="K548" i="15"/>
  <c r="Z548" i="15"/>
  <c r="AB548" i="15"/>
  <c r="AC548" i="15"/>
  <c r="AD548" i="15"/>
  <c r="AE548" i="15"/>
  <c r="AF548" i="15"/>
  <c r="AG548" i="15"/>
  <c r="AH548" i="15"/>
  <c r="AJ548" i="15"/>
  <c r="AK548" i="15"/>
  <c r="AL548" i="15"/>
  <c r="AO548" i="15"/>
  <c r="AP548" i="15"/>
  <c r="AV548" i="15"/>
  <c r="AW548" i="15"/>
  <c r="AX548" i="15"/>
  <c r="BC548" i="15"/>
  <c r="BD548" i="15"/>
  <c r="BF548" i="15"/>
  <c r="BH548" i="15"/>
  <c r="BI548" i="15"/>
  <c r="BJ548" i="15"/>
  <c r="K551" i="15"/>
  <c r="AS551" i="15"/>
  <c r="AT551" i="15"/>
  <c r="AU551" i="15"/>
  <c r="K552" i="15"/>
  <c r="Z552" i="15"/>
  <c r="AB552" i="15"/>
  <c r="AC552" i="15"/>
  <c r="AD552" i="15"/>
  <c r="AE552" i="15"/>
  <c r="AF552" i="15"/>
  <c r="AG552" i="15"/>
  <c r="AH552" i="15"/>
  <c r="AJ552" i="15"/>
  <c r="AK552" i="15"/>
  <c r="AL552" i="15"/>
  <c r="AO552" i="15"/>
  <c r="AP552" i="15"/>
  <c r="AV552" i="15"/>
  <c r="AW552" i="15"/>
  <c r="AX552" i="15"/>
  <c r="BC552" i="15"/>
  <c r="BD552" i="15"/>
  <c r="BF552" i="15"/>
  <c r="BH552" i="15"/>
  <c r="BI552" i="15"/>
  <c r="BJ552" i="15"/>
  <c r="K553" i="15"/>
  <c r="C2" i="4"/>
  <c r="F2" i="4"/>
  <c r="H2" i="4"/>
  <c r="C4" i="4"/>
  <c r="F4" i="4"/>
  <c r="H4" i="4"/>
  <c r="C6" i="4"/>
  <c r="F6" i="4"/>
  <c r="H6" i="4"/>
  <c r="C8" i="4"/>
  <c r="F8" i="4"/>
  <c r="H8" i="4"/>
  <c r="I14" i="4"/>
  <c r="K14" i="4"/>
  <c r="K13" i="4" s="1"/>
  <c r="Z14" i="4"/>
  <c r="AD14" i="4"/>
  <c r="AE14" i="4"/>
  <c r="AF14" i="4"/>
  <c r="AG14" i="4"/>
  <c r="AH14" i="4"/>
  <c r="AJ14" i="4"/>
  <c r="AK14" i="4"/>
  <c r="AO14" i="4"/>
  <c r="AW14" i="4" s="1"/>
  <c r="AP14" i="4"/>
  <c r="AX14" i="4" s="1"/>
  <c r="BD14" i="4"/>
  <c r="BF14" i="4"/>
  <c r="BH14" i="4"/>
  <c r="AB14" i="4" s="1"/>
  <c r="BI14" i="4"/>
  <c r="AC14" i="4" s="1"/>
  <c r="BJ14" i="4"/>
  <c r="I17" i="4"/>
  <c r="K17" i="4"/>
  <c r="K16" i="4" s="1"/>
  <c r="Z17" i="4"/>
  <c r="AD17" i="4"/>
  <c r="AE17" i="4"/>
  <c r="AF17" i="4"/>
  <c r="AG17" i="4"/>
  <c r="AH17" i="4"/>
  <c r="AJ17" i="4"/>
  <c r="AS16" i="4" s="1"/>
  <c r="AK17" i="4"/>
  <c r="AT16" i="4" s="1"/>
  <c r="AO17" i="4"/>
  <c r="AW17" i="4" s="1"/>
  <c r="AP17" i="4"/>
  <c r="AX17" i="4" s="1"/>
  <c r="BD17" i="4"/>
  <c r="BF17" i="4"/>
  <c r="BH17" i="4"/>
  <c r="AB17" i="4" s="1"/>
  <c r="BJ17" i="4"/>
  <c r="I20" i="4"/>
  <c r="K20" i="4"/>
  <c r="K19" i="4" s="1"/>
  <c r="Z20" i="4"/>
  <c r="AD20" i="4"/>
  <c r="AE20" i="4"/>
  <c r="AF20" i="4"/>
  <c r="AG20" i="4"/>
  <c r="AH20" i="4"/>
  <c r="AJ20" i="4"/>
  <c r="AS19" i="4" s="1"/>
  <c r="AK20" i="4"/>
  <c r="AT19" i="4" s="1"/>
  <c r="AO20" i="4"/>
  <c r="AP20" i="4"/>
  <c r="AW20" i="4"/>
  <c r="AX20" i="4"/>
  <c r="BD20" i="4"/>
  <c r="BF20" i="4"/>
  <c r="BH20" i="4"/>
  <c r="AB20" i="4" s="1"/>
  <c r="BI20" i="4"/>
  <c r="AC20" i="4" s="1"/>
  <c r="BJ20" i="4"/>
  <c r="I26" i="4"/>
  <c r="K26" i="4"/>
  <c r="K25" i="4" s="1"/>
  <c r="Z26" i="4"/>
  <c r="AD26" i="4"/>
  <c r="AE26" i="4"/>
  <c r="AF26" i="4"/>
  <c r="AG26" i="4"/>
  <c r="AH26" i="4"/>
  <c r="AJ26" i="4"/>
  <c r="AS25" i="4" s="1"/>
  <c r="AK26" i="4"/>
  <c r="AT25" i="4" s="1"/>
  <c r="AO26" i="4"/>
  <c r="AW26" i="4" s="1"/>
  <c r="AP26" i="4"/>
  <c r="AX26" i="4" s="1"/>
  <c r="BD26" i="4"/>
  <c r="BF26" i="4"/>
  <c r="BH26" i="4"/>
  <c r="AB26" i="4" s="1"/>
  <c r="BJ26" i="4"/>
  <c r="I29" i="4"/>
  <c r="K29" i="4"/>
  <c r="Z29" i="4"/>
  <c r="AD29" i="4"/>
  <c r="AE29" i="4"/>
  <c r="AF29" i="4"/>
  <c r="AG29" i="4"/>
  <c r="AH29" i="4"/>
  <c r="AJ29" i="4"/>
  <c r="AK29" i="4"/>
  <c r="AL29" i="4"/>
  <c r="AO29" i="4"/>
  <c r="BH29" i="4" s="1"/>
  <c r="AB29" i="4" s="1"/>
  <c r="AP29" i="4"/>
  <c r="AX29" i="4" s="1"/>
  <c r="AW29" i="4"/>
  <c r="BD29" i="4"/>
  <c r="BF29" i="4"/>
  <c r="BI29" i="4"/>
  <c r="AC29" i="4" s="1"/>
  <c r="BJ29" i="4"/>
  <c r="I34" i="4"/>
  <c r="K34" i="4"/>
  <c r="AL34" i="4" s="1"/>
  <c r="Z34" i="4"/>
  <c r="AD34" i="4"/>
  <c r="AE34" i="4"/>
  <c r="AF34" i="4"/>
  <c r="AG34" i="4"/>
  <c r="AH34" i="4"/>
  <c r="AJ34" i="4"/>
  <c r="AK34" i="4"/>
  <c r="AO34" i="4"/>
  <c r="AW34" i="4" s="1"/>
  <c r="AP34" i="4"/>
  <c r="AX34" i="4" s="1"/>
  <c r="BD34" i="4"/>
  <c r="BF34" i="4"/>
  <c r="BH34" i="4"/>
  <c r="AB34" i="4" s="1"/>
  <c r="BI34" i="4"/>
  <c r="AC34" i="4" s="1"/>
  <c r="BJ34" i="4"/>
  <c r="I39" i="4"/>
  <c r="K39" i="4"/>
  <c r="AL39" i="4" s="1"/>
  <c r="Z39" i="4"/>
  <c r="AD39" i="4"/>
  <c r="AE39" i="4"/>
  <c r="AF39" i="4"/>
  <c r="AG39" i="4"/>
  <c r="AH39" i="4"/>
  <c r="AJ39" i="4"/>
  <c r="AK39" i="4"/>
  <c r="AO39" i="4"/>
  <c r="AP39" i="4"/>
  <c r="AW39" i="4"/>
  <c r="AX39" i="4"/>
  <c r="BD39" i="4"/>
  <c r="BF39" i="4"/>
  <c r="BH39" i="4"/>
  <c r="AB39" i="4" s="1"/>
  <c r="BI39" i="4"/>
  <c r="AC39" i="4" s="1"/>
  <c r="BJ39" i="4"/>
  <c r="I46" i="4"/>
  <c r="K46" i="4"/>
  <c r="AL46" i="4" s="1"/>
  <c r="Z46" i="4"/>
  <c r="AD46" i="4"/>
  <c r="AE46" i="4"/>
  <c r="AF46" i="4"/>
  <c r="AG46" i="4"/>
  <c r="AH46" i="4"/>
  <c r="AJ46" i="4"/>
  <c r="AK46" i="4"/>
  <c r="AO46" i="4"/>
  <c r="AP46" i="4"/>
  <c r="AW46" i="4"/>
  <c r="AV46" i="4" s="1"/>
  <c r="AX46" i="4"/>
  <c r="BD46" i="4"/>
  <c r="BF46" i="4"/>
  <c r="BH46" i="4"/>
  <c r="AB46" i="4" s="1"/>
  <c r="BI46" i="4"/>
  <c r="AC46" i="4" s="1"/>
  <c r="BJ46" i="4"/>
  <c r="I48" i="4"/>
  <c r="K48" i="4"/>
  <c r="AL48" i="4" s="1"/>
  <c r="Z48" i="4"/>
  <c r="AD48" i="4"/>
  <c r="AE48" i="4"/>
  <c r="AF48" i="4"/>
  <c r="AG48" i="4"/>
  <c r="AH48" i="4"/>
  <c r="AJ48" i="4"/>
  <c r="AK48" i="4"/>
  <c r="AO48" i="4"/>
  <c r="AW48" i="4" s="1"/>
  <c r="AP48" i="4"/>
  <c r="AX48" i="4"/>
  <c r="BD48" i="4"/>
  <c r="BF48" i="4"/>
  <c r="BI48" i="4"/>
  <c r="AC48" i="4" s="1"/>
  <c r="BJ48" i="4"/>
  <c r="I50" i="4"/>
  <c r="K50" i="4"/>
  <c r="AL50" i="4" s="1"/>
  <c r="Z50" i="4"/>
  <c r="AD50" i="4"/>
  <c r="AE50" i="4"/>
  <c r="AF50" i="4"/>
  <c r="AG50" i="4"/>
  <c r="AH50" i="4"/>
  <c r="AJ50" i="4"/>
  <c r="AK50" i="4"/>
  <c r="AO50" i="4"/>
  <c r="BH50" i="4" s="1"/>
  <c r="AB50" i="4" s="1"/>
  <c r="AP50" i="4"/>
  <c r="AX50" i="4" s="1"/>
  <c r="AW50" i="4"/>
  <c r="BD50" i="4"/>
  <c r="BF50" i="4"/>
  <c r="BI50" i="4"/>
  <c r="AC50" i="4" s="1"/>
  <c r="BJ50" i="4"/>
  <c r="I55" i="4"/>
  <c r="K55" i="4"/>
  <c r="AL55" i="4" s="1"/>
  <c r="Z55" i="4"/>
  <c r="AD55" i="4"/>
  <c r="AE55" i="4"/>
  <c r="AF55" i="4"/>
  <c r="AG55" i="4"/>
  <c r="AH55" i="4"/>
  <c r="AJ55" i="4"/>
  <c r="AK55" i="4"/>
  <c r="AO55" i="4"/>
  <c r="AW55" i="4" s="1"/>
  <c r="AP55" i="4"/>
  <c r="AX55" i="4" s="1"/>
  <c r="BD55" i="4"/>
  <c r="BF55" i="4"/>
  <c r="BH55" i="4"/>
  <c r="AB55" i="4" s="1"/>
  <c r="BI55" i="4"/>
  <c r="AC55" i="4" s="1"/>
  <c r="BJ55" i="4"/>
  <c r="I58" i="4"/>
  <c r="K58" i="4"/>
  <c r="AL58" i="4" s="1"/>
  <c r="Z58" i="4"/>
  <c r="AD58" i="4"/>
  <c r="AE58" i="4"/>
  <c r="AF58" i="4"/>
  <c r="AG58" i="4"/>
  <c r="AH58" i="4"/>
  <c r="AJ58" i="4"/>
  <c r="AK58" i="4"/>
  <c r="AO58" i="4"/>
  <c r="BH58" i="4" s="1"/>
  <c r="AB58" i="4" s="1"/>
  <c r="AP58" i="4"/>
  <c r="AX58" i="4" s="1"/>
  <c r="AW58" i="4"/>
  <c r="BD58" i="4"/>
  <c r="BF58" i="4"/>
  <c r="BJ58" i="4"/>
  <c r="I61" i="4"/>
  <c r="K61" i="4"/>
  <c r="AL61" i="4" s="1"/>
  <c r="Z61" i="4"/>
  <c r="AD61" i="4"/>
  <c r="AE61" i="4"/>
  <c r="AF61" i="4"/>
  <c r="AG61" i="4"/>
  <c r="AH61" i="4"/>
  <c r="AJ61" i="4"/>
  <c r="AK61" i="4"/>
  <c r="AO61" i="4"/>
  <c r="AW61" i="4" s="1"/>
  <c r="AP61" i="4"/>
  <c r="AX61" i="4" s="1"/>
  <c r="BD61" i="4"/>
  <c r="BF61" i="4"/>
  <c r="BH61" i="4"/>
  <c r="AB61" i="4" s="1"/>
  <c r="BI61" i="4"/>
  <c r="AC61" i="4" s="1"/>
  <c r="BJ61" i="4"/>
  <c r="I63" i="4"/>
  <c r="K63" i="4"/>
  <c r="AL63" i="4" s="1"/>
  <c r="Z63" i="4"/>
  <c r="AD63" i="4"/>
  <c r="AE63" i="4"/>
  <c r="AF63" i="4"/>
  <c r="AG63" i="4"/>
  <c r="AH63" i="4"/>
  <c r="AJ63" i="4"/>
  <c r="AK63" i="4"/>
  <c r="AO63" i="4"/>
  <c r="AP63" i="4"/>
  <c r="AW63" i="4"/>
  <c r="AX63" i="4"/>
  <c r="BD63" i="4"/>
  <c r="BF63" i="4"/>
  <c r="BH63" i="4"/>
  <c r="AB63" i="4" s="1"/>
  <c r="BI63" i="4"/>
  <c r="AC63" i="4" s="1"/>
  <c r="BJ63" i="4"/>
  <c r="I65" i="4"/>
  <c r="K65" i="4"/>
  <c r="AL65" i="4" s="1"/>
  <c r="Z65" i="4"/>
  <c r="AD65" i="4"/>
  <c r="AE65" i="4"/>
  <c r="AF65" i="4"/>
  <c r="AG65" i="4"/>
  <c r="AH65" i="4"/>
  <c r="AJ65" i="4"/>
  <c r="AK65" i="4"/>
  <c r="AO65" i="4"/>
  <c r="AP65" i="4"/>
  <c r="AW65" i="4"/>
  <c r="AX65" i="4"/>
  <c r="BD65" i="4"/>
  <c r="BF65" i="4"/>
  <c r="BH65" i="4"/>
  <c r="AB65" i="4" s="1"/>
  <c r="BI65" i="4"/>
  <c r="AC65" i="4" s="1"/>
  <c r="BJ65" i="4"/>
  <c r="I67" i="4"/>
  <c r="K67" i="4"/>
  <c r="AL67" i="4" s="1"/>
  <c r="Z67" i="4"/>
  <c r="AD67" i="4"/>
  <c r="AE67" i="4"/>
  <c r="AF67" i="4"/>
  <c r="AG67" i="4"/>
  <c r="AH67" i="4"/>
  <c r="AJ67" i="4"/>
  <c r="AK67" i="4"/>
  <c r="AO67" i="4"/>
  <c r="AW67" i="4" s="1"/>
  <c r="AP67" i="4"/>
  <c r="AX67" i="4" s="1"/>
  <c r="BD67" i="4"/>
  <c r="BF67" i="4"/>
  <c r="BH67" i="4"/>
  <c r="AB67" i="4" s="1"/>
  <c r="BI67" i="4"/>
  <c r="AC67" i="4" s="1"/>
  <c r="BJ67" i="4"/>
  <c r="I69" i="4"/>
  <c r="K69" i="4"/>
  <c r="AL69" i="4" s="1"/>
  <c r="Z69" i="4"/>
  <c r="AD69" i="4"/>
  <c r="AE69" i="4"/>
  <c r="AF69" i="4"/>
  <c r="AG69" i="4"/>
  <c r="AH69" i="4"/>
  <c r="AJ69" i="4"/>
  <c r="AK69" i="4"/>
  <c r="AO69" i="4"/>
  <c r="AP69" i="4"/>
  <c r="AW69" i="4"/>
  <c r="AX69" i="4"/>
  <c r="BD69" i="4"/>
  <c r="BF69" i="4"/>
  <c r="BH69" i="4"/>
  <c r="AB69" i="4" s="1"/>
  <c r="BI69" i="4"/>
  <c r="AC69" i="4" s="1"/>
  <c r="BJ69" i="4"/>
  <c r="I72" i="4"/>
  <c r="K72" i="4"/>
  <c r="AL72" i="4" s="1"/>
  <c r="Z72" i="4"/>
  <c r="AD72" i="4"/>
  <c r="AE72" i="4"/>
  <c r="AF72" i="4"/>
  <c r="AG72" i="4"/>
  <c r="AH72" i="4"/>
  <c r="AJ72" i="4"/>
  <c r="AK72" i="4"/>
  <c r="AO72" i="4"/>
  <c r="AP72" i="4"/>
  <c r="AW72" i="4"/>
  <c r="AX72" i="4"/>
  <c r="BD72" i="4"/>
  <c r="BF72" i="4"/>
  <c r="BH72" i="4"/>
  <c r="AB72" i="4" s="1"/>
  <c r="BI72" i="4"/>
  <c r="AC72" i="4" s="1"/>
  <c r="BJ72" i="4"/>
  <c r="I74" i="4"/>
  <c r="K74" i="4"/>
  <c r="AL74" i="4" s="1"/>
  <c r="Z74" i="4"/>
  <c r="AD74" i="4"/>
  <c r="AE74" i="4"/>
  <c r="AF74" i="4"/>
  <c r="AG74" i="4"/>
  <c r="AH74" i="4"/>
  <c r="AJ74" i="4"/>
  <c r="AK74" i="4"/>
  <c r="AO74" i="4"/>
  <c r="AW74" i="4" s="1"/>
  <c r="AP74" i="4"/>
  <c r="AX74" i="4" s="1"/>
  <c r="BD74" i="4"/>
  <c r="BF74" i="4"/>
  <c r="BH74" i="4"/>
  <c r="AB74" i="4" s="1"/>
  <c r="BI74" i="4"/>
  <c r="AC74" i="4" s="1"/>
  <c r="BJ74" i="4"/>
  <c r="I76" i="4"/>
  <c r="K76" i="4"/>
  <c r="AL76" i="4" s="1"/>
  <c r="Z76" i="4"/>
  <c r="AD76" i="4"/>
  <c r="AE76" i="4"/>
  <c r="AF76" i="4"/>
  <c r="AG76" i="4"/>
  <c r="AH76" i="4"/>
  <c r="AJ76" i="4"/>
  <c r="AK76" i="4"/>
  <c r="AO76" i="4"/>
  <c r="AP76" i="4"/>
  <c r="AW76" i="4"/>
  <c r="AX76" i="4"/>
  <c r="BD76" i="4"/>
  <c r="BF76" i="4"/>
  <c r="BH76" i="4"/>
  <c r="AB76" i="4" s="1"/>
  <c r="BI76" i="4"/>
  <c r="AC76" i="4" s="1"/>
  <c r="BJ76" i="4"/>
  <c r="I78" i="4"/>
  <c r="K78" i="4"/>
  <c r="AL78" i="4" s="1"/>
  <c r="Z78" i="4"/>
  <c r="AD78" i="4"/>
  <c r="AE78" i="4"/>
  <c r="AF78" i="4"/>
  <c r="AG78" i="4"/>
  <c r="AH78" i="4"/>
  <c r="AJ78" i="4"/>
  <c r="AK78" i="4"/>
  <c r="AO78" i="4"/>
  <c r="AW78" i="4" s="1"/>
  <c r="AP78" i="4"/>
  <c r="AX78" i="4" s="1"/>
  <c r="BD78" i="4"/>
  <c r="BF78" i="4"/>
  <c r="BH78" i="4"/>
  <c r="AB78" i="4" s="1"/>
  <c r="BI78" i="4"/>
  <c r="AC78" i="4" s="1"/>
  <c r="BJ78" i="4"/>
  <c r="I80" i="4"/>
  <c r="K80" i="4"/>
  <c r="AL80" i="4" s="1"/>
  <c r="Z80" i="4"/>
  <c r="AD80" i="4"/>
  <c r="AE80" i="4"/>
  <c r="AF80" i="4"/>
  <c r="AG80" i="4"/>
  <c r="AH80" i="4"/>
  <c r="AJ80" i="4"/>
  <c r="AK80" i="4"/>
  <c r="AO80" i="4"/>
  <c r="AP80" i="4"/>
  <c r="AW80" i="4"/>
  <c r="AX80" i="4"/>
  <c r="BD80" i="4"/>
  <c r="BF80" i="4"/>
  <c r="BH80" i="4"/>
  <c r="AB80" i="4" s="1"/>
  <c r="BI80" i="4"/>
  <c r="AC80" i="4" s="1"/>
  <c r="BJ80" i="4"/>
  <c r="I84" i="4"/>
  <c r="K84" i="4"/>
  <c r="AL84" i="4" s="1"/>
  <c r="Z84" i="4"/>
  <c r="AD84" i="4"/>
  <c r="AE84" i="4"/>
  <c r="AF84" i="4"/>
  <c r="AG84" i="4"/>
  <c r="AH84" i="4"/>
  <c r="AJ84" i="4"/>
  <c r="AK84" i="4"/>
  <c r="AO84" i="4"/>
  <c r="AP84" i="4"/>
  <c r="AW84" i="4"/>
  <c r="AX84" i="4"/>
  <c r="BD84" i="4"/>
  <c r="BF84" i="4"/>
  <c r="BH84" i="4"/>
  <c r="AB84" i="4" s="1"/>
  <c r="BI84" i="4"/>
  <c r="AC84" i="4" s="1"/>
  <c r="BJ84" i="4"/>
  <c r="I92" i="4"/>
  <c r="K92" i="4"/>
  <c r="AL92" i="4" s="1"/>
  <c r="Z92" i="4"/>
  <c r="AD92" i="4"/>
  <c r="AE92" i="4"/>
  <c r="AF92" i="4"/>
  <c r="AG92" i="4"/>
  <c r="AH92" i="4"/>
  <c r="AJ92" i="4"/>
  <c r="AK92" i="4"/>
  <c r="AO92" i="4"/>
  <c r="AW92" i="4" s="1"/>
  <c r="AP92" i="4"/>
  <c r="AX92" i="4" s="1"/>
  <c r="BD92" i="4"/>
  <c r="BF92" i="4"/>
  <c r="BH92" i="4"/>
  <c r="AB92" i="4" s="1"/>
  <c r="BJ92" i="4"/>
  <c r="I96" i="4"/>
  <c r="K96" i="4"/>
  <c r="Z96" i="4"/>
  <c r="AD96" i="4"/>
  <c r="AE96" i="4"/>
  <c r="AF96" i="4"/>
  <c r="AG96" i="4"/>
  <c r="AH96" i="4"/>
  <c r="AJ96" i="4"/>
  <c r="AK96" i="4"/>
  <c r="AL96" i="4"/>
  <c r="AO96" i="4"/>
  <c r="AP96" i="4"/>
  <c r="AW96" i="4"/>
  <c r="AX96" i="4"/>
  <c r="BC96" i="4" s="1"/>
  <c r="BD96" i="4"/>
  <c r="BF96" i="4"/>
  <c r="BH96" i="4"/>
  <c r="AB96" i="4" s="1"/>
  <c r="BI96" i="4"/>
  <c r="AC96" i="4" s="1"/>
  <c r="BJ96" i="4"/>
  <c r="I101" i="4"/>
  <c r="K101" i="4"/>
  <c r="Z101" i="4"/>
  <c r="AD101" i="4"/>
  <c r="AE101" i="4"/>
  <c r="AF101" i="4"/>
  <c r="AG101" i="4"/>
  <c r="AH101" i="4"/>
  <c r="AJ101" i="4"/>
  <c r="AK101" i="4"/>
  <c r="AL101" i="4"/>
  <c r="AO101" i="4"/>
  <c r="AP101" i="4"/>
  <c r="AW101" i="4"/>
  <c r="AX101" i="4"/>
  <c r="BD101" i="4"/>
  <c r="BF101" i="4"/>
  <c r="BH101" i="4"/>
  <c r="AB101" i="4" s="1"/>
  <c r="BI101" i="4"/>
  <c r="AC101" i="4" s="1"/>
  <c r="BJ101" i="4"/>
  <c r="I107" i="4"/>
  <c r="K107" i="4"/>
  <c r="AL107" i="4" s="1"/>
  <c r="Z107" i="4"/>
  <c r="AD107" i="4"/>
  <c r="AE107" i="4"/>
  <c r="AF107" i="4"/>
  <c r="AG107" i="4"/>
  <c r="AH107" i="4"/>
  <c r="AJ107" i="4"/>
  <c r="AK107" i="4"/>
  <c r="AO107" i="4"/>
  <c r="AW107" i="4" s="1"/>
  <c r="AP107" i="4"/>
  <c r="AX107" i="4" s="1"/>
  <c r="BD107" i="4"/>
  <c r="BF107" i="4"/>
  <c r="BH107" i="4"/>
  <c r="AB107" i="4" s="1"/>
  <c r="BJ107" i="4"/>
  <c r="I110" i="4"/>
  <c r="K110" i="4"/>
  <c r="AL110" i="4" s="1"/>
  <c r="Z110" i="4"/>
  <c r="AD110" i="4"/>
  <c r="AE110" i="4"/>
  <c r="AF110" i="4"/>
  <c r="AG110" i="4"/>
  <c r="AH110" i="4"/>
  <c r="AJ110" i="4"/>
  <c r="AK110" i="4"/>
  <c r="AO110" i="4"/>
  <c r="BH110" i="4" s="1"/>
  <c r="AB110" i="4" s="1"/>
  <c r="AP110" i="4"/>
  <c r="AX110" i="4" s="1"/>
  <c r="AW110" i="4"/>
  <c r="BD110" i="4"/>
  <c r="BF110" i="4"/>
  <c r="BJ110" i="4"/>
  <c r="I113" i="4"/>
  <c r="K113" i="4"/>
  <c r="Z113" i="4"/>
  <c r="AD113" i="4"/>
  <c r="AE113" i="4"/>
  <c r="AF113" i="4"/>
  <c r="AG113" i="4"/>
  <c r="AH113" i="4"/>
  <c r="AJ113" i="4"/>
  <c r="AK113" i="4"/>
  <c r="AL113" i="4"/>
  <c r="AO113" i="4"/>
  <c r="AP113" i="4"/>
  <c r="AW113" i="4"/>
  <c r="AX113" i="4"/>
  <c r="BC113" i="4" s="1"/>
  <c r="BD113" i="4"/>
  <c r="BF113" i="4"/>
  <c r="BH113" i="4"/>
  <c r="AB113" i="4" s="1"/>
  <c r="BI113" i="4"/>
  <c r="AC113" i="4" s="1"/>
  <c r="BJ113" i="4"/>
  <c r="I116" i="4"/>
  <c r="K116" i="4"/>
  <c r="Z116" i="4"/>
  <c r="AD116" i="4"/>
  <c r="AE116" i="4"/>
  <c r="AF116" i="4"/>
  <c r="AG116" i="4"/>
  <c r="AH116" i="4"/>
  <c r="AJ116" i="4"/>
  <c r="AK116" i="4"/>
  <c r="AL116" i="4"/>
  <c r="AO116" i="4"/>
  <c r="AP116" i="4"/>
  <c r="AW116" i="4"/>
  <c r="AX116" i="4"/>
  <c r="BC116" i="4" s="1"/>
  <c r="BD116" i="4"/>
  <c r="BF116" i="4"/>
  <c r="BH116" i="4"/>
  <c r="AB116" i="4" s="1"/>
  <c r="BI116" i="4"/>
  <c r="AC116" i="4" s="1"/>
  <c r="BJ116" i="4"/>
  <c r="I118" i="4"/>
  <c r="K118" i="4"/>
  <c r="Z118" i="4"/>
  <c r="AD118" i="4"/>
  <c r="AE118" i="4"/>
  <c r="AF118" i="4"/>
  <c r="AG118" i="4"/>
  <c r="AH118" i="4"/>
  <c r="AJ118" i="4"/>
  <c r="AK118" i="4"/>
  <c r="AL118" i="4"/>
  <c r="AO118" i="4"/>
  <c r="AP118" i="4"/>
  <c r="AW118" i="4"/>
  <c r="AX118" i="4"/>
  <c r="BC118" i="4" s="1"/>
  <c r="BD118" i="4"/>
  <c r="BF118" i="4"/>
  <c r="BH118" i="4"/>
  <c r="AB118" i="4" s="1"/>
  <c r="BI118" i="4"/>
  <c r="AC118" i="4" s="1"/>
  <c r="BJ118" i="4"/>
  <c r="I119" i="4"/>
  <c r="K119" i="4"/>
  <c r="Z119" i="4"/>
  <c r="AD119" i="4"/>
  <c r="AE119" i="4"/>
  <c r="AF119" i="4"/>
  <c r="AG119" i="4"/>
  <c r="AH119" i="4"/>
  <c r="AJ119" i="4"/>
  <c r="AK119" i="4"/>
  <c r="AL119" i="4"/>
  <c r="AO119" i="4"/>
  <c r="AW119" i="4" s="1"/>
  <c r="AP119" i="4"/>
  <c r="AX119" i="4" s="1"/>
  <c r="BD119" i="4"/>
  <c r="BF119" i="4"/>
  <c r="BH119" i="4"/>
  <c r="AB119" i="4" s="1"/>
  <c r="BJ119" i="4"/>
  <c r="I122" i="4"/>
  <c r="K122" i="4"/>
  <c r="Z122" i="4"/>
  <c r="AD122" i="4"/>
  <c r="AE122" i="4"/>
  <c r="AF122" i="4"/>
  <c r="AG122" i="4"/>
  <c r="AH122" i="4"/>
  <c r="AJ122" i="4"/>
  <c r="AK122" i="4"/>
  <c r="AL122" i="4"/>
  <c r="AO122" i="4"/>
  <c r="AP122" i="4"/>
  <c r="AW122" i="4"/>
  <c r="AX122" i="4"/>
  <c r="BD122" i="4"/>
  <c r="BF122" i="4"/>
  <c r="BH122" i="4"/>
  <c r="AB122" i="4" s="1"/>
  <c r="BI122" i="4"/>
  <c r="AC122" i="4" s="1"/>
  <c r="BJ122" i="4"/>
  <c r="I124" i="4"/>
  <c r="K124" i="4"/>
  <c r="Z124" i="4"/>
  <c r="AD124" i="4"/>
  <c r="AE124" i="4"/>
  <c r="AF124" i="4"/>
  <c r="AG124" i="4"/>
  <c r="AH124" i="4"/>
  <c r="AJ124" i="4"/>
  <c r="AK124" i="4"/>
  <c r="AL124" i="4"/>
  <c r="AO124" i="4"/>
  <c r="AW124" i="4" s="1"/>
  <c r="AP124" i="4"/>
  <c r="AX124" i="4" s="1"/>
  <c r="BD124" i="4"/>
  <c r="BF124" i="4"/>
  <c r="BI124" i="4"/>
  <c r="AC124" i="4" s="1"/>
  <c r="BJ124" i="4"/>
  <c r="I127" i="4"/>
  <c r="K127" i="4"/>
  <c r="AL127" i="4" s="1"/>
  <c r="Z127" i="4"/>
  <c r="AD127" i="4"/>
  <c r="AE127" i="4"/>
  <c r="AF127" i="4"/>
  <c r="AG127" i="4"/>
  <c r="AH127" i="4"/>
  <c r="AJ127" i="4"/>
  <c r="AK127" i="4"/>
  <c r="AO127" i="4"/>
  <c r="AP127" i="4"/>
  <c r="AW127" i="4"/>
  <c r="AX127" i="4"/>
  <c r="BD127" i="4"/>
  <c r="BF127" i="4"/>
  <c r="BH127" i="4"/>
  <c r="AB127" i="4" s="1"/>
  <c r="BI127" i="4"/>
  <c r="AC127" i="4" s="1"/>
  <c r="BJ127" i="4"/>
  <c r="I130" i="4"/>
  <c r="K130" i="4"/>
  <c r="Z130" i="4"/>
  <c r="AD130" i="4"/>
  <c r="AE130" i="4"/>
  <c r="AF130" i="4"/>
  <c r="AG130" i="4"/>
  <c r="AH130" i="4"/>
  <c r="AJ130" i="4"/>
  <c r="AK130" i="4"/>
  <c r="AL130" i="4"/>
  <c r="AO130" i="4"/>
  <c r="AP130" i="4"/>
  <c r="AW130" i="4"/>
  <c r="AX130" i="4"/>
  <c r="BC130" i="4" s="1"/>
  <c r="BD130" i="4"/>
  <c r="BF130" i="4"/>
  <c r="BH130" i="4"/>
  <c r="AB130" i="4" s="1"/>
  <c r="BI130" i="4"/>
  <c r="AC130" i="4" s="1"/>
  <c r="BJ130" i="4"/>
  <c r="I134" i="4"/>
  <c r="K134" i="4"/>
  <c r="K133" i="4" s="1"/>
  <c r="Z134" i="4"/>
  <c r="AD134" i="4"/>
  <c r="AE134" i="4"/>
  <c r="AF134" i="4"/>
  <c r="AG134" i="4"/>
  <c r="AH134" i="4"/>
  <c r="AJ134" i="4"/>
  <c r="AS133" i="4" s="1"/>
  <c r="AK134" i="4"/>
  <c r="AT133" i="4" s="1"/>
  <c r="AO134" i="4"/>
  <c r="AW134" i="4" s="1"/>
  <c r="AP134" i="4"/>
  <c r="AX134" i="4" s="1"/>
  <c r="BD134" i="4"/>
  <c r="BF134" i="4"/>
  <c r="BH134" i="4"/>
  <c r="AB134" i="4" s="1"/>
  <c r="BJ134" i="4"/>
  <c r="I141" i="4"/>
  <c r="Z141" i="4"/>
  <c r="AD141" i="4"/>
  <c r="AE141" i="4"/>
  <c r="AF141" i="4"/>
  <c r="AG141" i="4"/>
  <c r="AH141" i="4"/>
  <c r="AJ141" i="4"/>
  <c r="AK141" i="4"/>
  <c r="AL141" i="4"/>
  <c r="AO141" i="4"/>
  <c r="BH141" i="4" s="1"/>
  <c r="AB141" i="4" s="1"/>
  <c r="AP141" i="4"/>
  <c r="AW141" i="4"/>
  <c r="AX141" i="4"/>
  <c r="BC141" i="4"/>
  <c r="BD141" i="4"/>
  <c r="BF141" i="4"/>
  <c r="BI141" i="4"/>
  <c r="AC141" i="4" s="1"/>
  <c r="BJ141" i="4"/>
  <c r="I146" i="4"/>
  <c r="K146" i="4"/>
  <c r="AL146" i="4" s="1"/>
  <c r="Z146" i="4"/>
  <c r="AD146" i="4"/>
  <c r="AE146" i="4"/>
  <c r="AF146" i="4"/>
  <c r="AG146" i="4"/>
  <c r="AH146" i="4"/>
  <c r="AJ146" i="4"/>
  <c r="AK146" i="4"/>
  <c r="AO146" i="4"/>
  <c r="AP146" i="4"/>
  <c r="BI146" i="4" s="1"/>
  <c r="AC146" i="4" s="1"/>
  <c r="AW146" i="4"/>
  <c r="AX146" i="4"/>
  <c r="BD146" i="4"/>
  <c r="BF146" i="4"/>
  <c r="BH146" i="4"/>
  <c r="AB146" i="4" s="1"/>
  <c r="BJ146" i="4"/>
  <c r="I151" i="4"/>
  <c r="K151" i="4"/>
  <c r="AL151" i="4" s="1"/>
  <c r="Z151" i="4"/>
  <c r="AD151" i="4"/>
  <c r="AE151" i="4"/>
  <c r="AF151" i="4"/>
  <c r="AG151" i="4"/>
  <c r="AH151" i="4"/>
  <c r="AJ151" i="4"/>
  <c r="AK151" i="4"/>
  <c r="AO151" i="4"/>
  <c r="AP151" i="4"/>
  <c r="AW151" i="4"/>
  <c r="AX151" i="4"/>
  <c r="BD151" i="4"/>
  <c r="BF151" i="4"/>
  <c r="BH151" i="4"/>
  <c r="AB151" i="4" s="1"/>
  <c r="BI151" i="4"/>
  <c r="AC151" i="4" s="1"/>
  <c r="BJ151" i="4"/>
  <c r="I154" i="4"/>
  <c r="K154" i="4"/>
  <c r="AL154" i="4" s="1"/>
  <c r="Z154" i="4"/>
  <c r="AD154" i="4"/>
  <c r="AE154" i="4"/>
  <c r="AF154" i="4"/>
  <c r="AG154" i="4"/>
  <c r="AH154" i="4"/>
  <c r="AJ154" i="4"/>
  <c r="AK154" i="4"/>
  <c r="AO154" i="4"/>
  <c r="AW154" i="4" s="1"/>
  <c r="AP154" i="4"/>
  <c r="AX154" i="4" s="1"/>
  <c r="BD154" i="4"/>
  <c r="BF154" i="4"/>
  <c r="BH154" i="4"/>
  <c r="AB154" i="4" s="1"/>
  <c r="BJ154" i="4"/>
  <c r="I159" i="4"/>
  <c r="K159" i="4"/>
  <c r="AL159" i="4" s="1"/>
  <c r="Z159" i="4"/>
  <c r="AB159" i="4"/>
  <c r="AC159" i="4"/>
  <c r="AF159" i="4"/>
  <c r="AG159" i="4"/>
  <c r="AH159" i="4"/>
  <c r="AJ159" i="4"/>
  <c r="AK159" i="4"/>
  <c r="AO159" i="4"/>
  <c r="AP159" i="4"/>
  <c r="AW159" i="4"/>
  <c r="AX159" i="4"/>
  <c r="BD159" i="4"/>
  <c r="BF159" i="4"/>
  <c r="BH159" i="4"/>
  <c r="AD159" i="4" s="1"/>
  <c r="BI159" i="4"/>
  <c r="AE159" i="4" s="1"/>
  <c r="BJ159" i="4"/>
  <c r="I165" i="4"/>
  <c r="K165" i="4"/>
  <c r="AL165" i="4" s="1"/>
  <c r="Z165" i="4"/>
  <c r="AB165" i="4"/>
  <c r="AC165" i="4"/>
  <c r="AF165" i="4"/>
  <c r="AG165" i="4"/>
  <c r="AH165" i="4"/>
  <c r="AJ165" i="4"/>
  <c r="AK165" i="4"/>
  <c r="AO165" i="4"/>
  <c r="AP165" i="4"/>
  <c r="AW165" i="4"/>
  <c r="AX165" i="4"/>
  <c r="BD165" i="4"/>
  <c r="BF165" i="4"/>
  <c r="BH165" i="4"/>
  <c r="AD165" i="4" s="1"/>
  <c r="BI165" i="4"/>
  <c r="AE165" i="4" s="1"/>
  <c r="BJ165" i="4"/>
  <c r="I172" i="4"/>
  <c r="K172" i="4"/>
  <c r="Z172" i="4"/>
  <c r="AB172" i="4"/>
  <c r="AC172" i="4"/>
  <c r="AF172" i="4"/>
  <c r="AG172" i="4"/>
  <c r="AH172" i="4"/>
  <c r="AJ172" i="4"/>
  <c r="AK172" i="4"/>
  <c r="AL172" i="4"/>
  <c r="AO172" i="4"/>
  <c r="AP172" i="4"/>
  <c r="AX172" i="4" s="1"/>
  <c r="BC172" i="4" s="1"/>
  <c r="AW172" i="4"/>
  <c r="BD172" i="4"/>
  <c r="BF172" i="4"/>
  <c r="BH172" i="4"/>
  <c r="AD172" i="4" s="1"/>
  <c r="BJ172" i="4"/>
  <c r="I174" i="4"/>
  <c r="K174" i="4"/>
  <c r="Z174" i="4"/>
  <c r="AB174" i="4"/>
  <c r="AC174" i="4"/>
  <c r="AF174" i="4"/>
  <c r="AG174" i="4"/>
  <c r="AH174" i="4"/>
  <c r="AJ174" i="4"/>
  <c r="AK174" i="4"/>
  <c r="AL174" i="4"/>
  <c r="AO174" i="4"/>
  <c r="AP174" i="4"/>
  <c r="AW174" i="4"/>
  <c r="AX174" i="4"/>
  <c r="BC174" i="4" s="1"/>
  <c r="BD174" i="4"/>
  <c r="BF174" i="4"/>
  <c r="BH174" i="4"/>
  <c r="AD174" i="4" s="1"/>
  <c r="BI174" i="4"/>
  <c r="AE174" i="4" s="1"/>
  <c r="BJ174" i="4"/>
  <c r="I177" i="4"/>
  <c r="K177" i="4"/>
  <c r="Z177" i="4"/>
  <c r="AB177" i="4"/>
  <c r="AC177" i="4"/>
  <c r="AF177" i="4"/>
  <c r="AG177" i="4"/>
  <c r="AH177" i="4"/>
  <c r="AJ177" i="4"/>
  <c r="AK177" i="4"/>
  <c r="AL177" i="4"/>
  <c r="AO177" i="4"/>
  <c r="AP177" i="4"/>
  <c r="AW177" i="4"/>
  <c r="AX177" i="4"/>
  <c r="BC177" i="4" s="1"/>
  <c r="BD177" i="4"/>
  <c r="BF177" i="4"/>
  <c r="BH177" i="4"/>
  <c r="AD177" i="4" s="1"/>
  <c r="BI177" i="4"/>
  <c r="AE177" i="4" s="1"/>
  <c r="BJ177" i="4"/>
  <c r="I181" i="4"/>
  <c r="K181" i="4"/>
  <c r="Z181" i="4"/>
  <c r="AB181" i="4"/>
  <c r="AC181" i="4"/>
  <c r="AF181" i="4"/>
  <c r="AG181" i="4"/>
  <c r="AH181" i="4"/>
  <c r="AJ181" i="4"/>
  <c r="AK181" i="4"/>
  <c r="AL181" i="4"/>
  <c r="AO181" i="4"/>
  <c r="AW181" i="4" s="1"/>
  <c r="AP181" i="4"/>
  <c r="AX181" i="4" s="1"/>
  <c r="BD181" i="4"/>
  <c r="BF181" i="4"/>
  <c r="BH181" i="4"/>
  <c r="AD181" i="4" s="1"/>
  <c r="BJ181" i="4"/>
  <c r="I185" i="4"/>
  <c r="K185" i="4"/>
  <c r="AL185" i="4" s="1"/>
  <c r="Z185" i="4"/>
  <c r="AB185" i="4"/>
  <c r="AC185" i="4"/>
  <c r="AF185" i="4"/>
  <c r="AG185" i="4"/>
  <c r="AH185" i="4"/>
  <c r="AJ185" i="4"/>
  <c r="AK185" i="4"/>
  <c r="AO185" i="4"/>
  <c r="AP185" i="4"/>
  <c r="AW185" i="4"/>
  <c r="AV185" i="4" s="1"/>
  <c r="AX185" i="4"/>
  <c r="BD185" i="4"/>
  <c r="BF185" i="4"/>
  <c r="BH185" i="4"/>
  <c r="AD185" i="4" s="1"/>
  <c r="BI185" i="4"/>
  <c r="AE185" i="4" s="1"/>
  <c r="BJ185" i="4"/>
  <c r="I190" i="4"/>
  <c r="K190" i="4"/>
  <c r="AL190" i="4" s="1"/>
  <c r="Z190" i="4"/>
  <c r="AB190" i="4"/>
  <c r="AC190" i="4"/>
  <c r="AF190" i="4"/>
  <c r="AG190" i="4"/>
  <c r="AH190" i="4"/>
  <c r="AJ190" i="4"/>
  <c r="AK190" i="4"/>
  <c r="AO190" i="4"/>
  <c r="AW190" i="4" s="1"/>
  <c r="AP190" i="4"/>
  <c r="AX190" i="4" s="1"/>
  <c r="BD190" i="4"/>
  <c r="BF190" i="4"/>
  <c r="BH190" i="4"/>
  <c r="AD190" i="4" s="1"/>
  <c r="BJ190" i="4"/>
  <c r="I194" i="4"/>
  <c r="K194" i="4"/>
  <c r="Z194" i="4"/>
  <c r="AB194" i="4"/>
  <c r="AC194" i="4"/>
  <c r="AF194" i="4"/>
  <c r="AG194" i="4"/>
  <c r="AH194" i="4"/>
  <c r="AJ194" i="4"/>
  <c r="AK194" i="4"/>
  <c r="AL194" i="4"/>
  <c r="AO194" i="4"/>
  <c r="AP194" i="4"/>
  <c r="AW194" i="4"/>
  <c r="AX194" i="4"/>
  <c r="BC194" i="4" s="1"/>
  <c r="BD194" i="4"/>
  <c r="BF194" i="4"/>
  <c r="BH194" i="4"/>
  <c r="AD194" i="4" s="1"/>
  <c r="BI194" i="4"/>
  <c r="AE194" i="4" s="1"/>
  <c r="BJ194" i="4"/>
  <c r="I196" i="4"/>
  <c r="K196" i="4"/>
  <c r="Z196" i="4"/>
  <c r="AB196" i="4"/>
  <c r="AC196" i="4"/>
  <c r="AF196" i="4"/>
  <c r="AG196" i="4"/>
  <c r="AH196" i="4"/>
  <c r="AJ196" i="4"/>
  <c r="AK196" i="4"/>
  <c r="AL196" i="4"/>
  <c r="AO196" i="4"/>
  <c r="AP196" i="4"/>
  <c r="AW196" i="4"/>
  <c r="AX196" i="4"/>
  <c r="BC196" i="4" s="1"/>
  <c r="BD196" i="4"/>
  <c r="BF196" i="4"/>
  <c r="BH196" i="4"/>
  <c r="AD196" i="4" s="1"/>
  <c r="BI196" i="4"/>
  <c r="AE196" i="4" s="1"/>
  <c r="BJ196" i="4"/>
  <c r="I198" i="4"/>
  <c r="K198" i="4"/>
  <c r="Z198" i="4"/>
  <c r="AB198" i="4"/>
  <c r="AC198" i="4"/>
  <c r="AF198" i="4"/>
  <c r="AG198" i="4"/>
  <c r="AH198" i="4"/>
  <c r="AJ198" i="4"/>
  <c r="AK198" i="4"/>
  <c r="AL198" i="4"/>
  <c r="AO198" i="4"/>
  <c r="AW198" i="4" s="1"/>
  <c r="AP198" i="4"/>
  <c r="AX198" i="4" s="1"/>
  <c r="BD198" i="4"/>
  <c r="BF198" i="4"/>
  <c r="BH198" i="4"/>
  <c r="AD198" i="4" s="1"/>
  <c r="BI198" i="4"/>
  <c r="AE198" i="4" s="1"/>
  <c r="BJ198" i="4"/>
  <c r="I200" i="4"/>
  <c r="K200" i="4"/>
  <c r="Z200" i="4"/>
  <c r="AB200" i="4"/>
  <c r="AC200" i="4"/>
  <c r="AF200" i="4"/>
  <c r="AG200" i="4"/>
  <c r="AH200" i="4"/>
  <c r="AJ200" i="4"/>
  <c r="AK200" i="4"/>
  <c r="AL200" i="4"/>
  <c r="AO200" i="4"/>
  <c r="AP200" i="4"/>
  <c r="AX200" i="4" s="1"/>
  <c r="AW200" i="4"/>
  <c r="BD200" i="4"/>
  <c r="BF200" i="4"/>
  <c r="BH200" i="4"/>
  <c r="AD200" i="4" s="1"/>
  <c r="BJ200" i="4"/>
  <c r="I202" i="4"/>
  <c r="K202" i="4"/>
  <c r="AL202" i="4" s="1"/>
  <c r="Z202" i="4"/>
  <c r="AB202" i="4"/>
  <c r="AC202" i="4"/>
  <c r="AF202" i="4"/>
  <c r="AG202" i="4"/>
  <c r="AH202" i="4"/>
  <c r="AJ202" i="4"/>
  <c r="AK202" i="4"/>
  <c r="AO202" i="4"/>
  <c r="AW202" i="4" s="1"/>
  <c r="AP202" i="4"/>
  <c r="AX202" i="4" s="1"/>
  <c r="BD202" i="4"/>
  <c r="BF202" i="4"/>
  <c r="BH202" i="4"/>
  <c r="AD202" i="4" s="1"/>
  <c r="BI202" i="4"/>
  <c r="AE202" i="4" s="1"/>
  <c r="BJ202" i="4"/>
  <c r="I203" i="4"/>
  <c r="K203" i="4"/>
  <c r="AB203" i="4"/>
  <c r="AC203" i="4"/>
  <c r="AD203" i="4"/>
  <c r="AE203" i="4"/>
  <c r="AF203" i="4"/>
  <c r="AG203" i="4"/>
  <c r="AH203" i="4"/>
  <c r="AJ203" i="4"/>
  <c r="AK203" i="4"/>
  <c r="AL203" i="4"/>
  <c r="AO203" i="4"/>
  <c r="BH203" i="4" s="1"/>
  <c r="AP203" i="4"/>
  <c r="AX203" i="4" s="1"/>
  <c r="AW203" i="4"/>
  <c r="BD203" i="4"/>
  <c r="BF203" i="4"/>
  <c r="BI203" i="4"/>
  <c r="BJ203" i="4"/>
  <c r="Z203" i="4" s="1"/>
  <c r="I205" i="4"/>
  <c r="K205" i="4"/>
  <c r="AL205" i="4" s="1"/>
  <c r="Z205" i="4"/>
  <c r="AB205" i="4"/>
  <c r="AC205" i="4"/>
  <c r="AF205" i="4"/>
  <c r="AG205" i="4"/>
  <c r="AH205" i="4"/>
  <c r="AJ205" i="4"/>
  <c r="AK205" i="4"/>
  <c r="AO205" i="4"/>
  <c r="AP205" i="4"/>
  <c r="AW205" i="4"/>
  <c r="AX205" i="4"/>
  <c r="BD205" i="4"/>
  <c r="BF205" i="4"/>
  <c r="BH205" i="4"/>
  <c r="AD205" i="4" s="1"/>
  <c r="BI205" i="4"/>
  <c r="AE205" i="4" s="1"/>
  <c r="BJ205" i="4"/>
  <c r="I207" i="4"/>
  <c r="K207" i="4"/>
  <c r="AL207" i="4" s="1"/>
  <c r="Z207" i="4"/>
  <c r="AB207" i="4"/>
  <c r="AC207" i="4"/>
  <c r="AF207" i="4"/>
  <c r="AG207" i="4"/>
  <c r="AH207" i="4"/>
  <c r="AJ207" i="4"/>
  <c r="AK207" i="4"/>
  <c r="AO207" i="4"/>
  <c r="AP207" i="4"/>
  <c r="AW207" i="4"/>
  <c r="AV207" i="4" s="1"/>
  <c r="AX207" i="4"/>
  <c r="BD207" i="4"/>
  <c r="BF207" i="4"/>
  <c r="BH207" i="4"/>
  <c r="AD207" i="4" s="1"/>
  <c r="BI207" i="4"/>
  <c r="AE207" i="4" s="1"/>
  <c r="BJ207" i="4"/>
  <c r="I210" i="4"/>
  <c r="K210" i="4"/>
  <c r="AL210" i="4" s="1"/>
  <c r="Z210" i="4"/>
  <c r="AB210" i="4"/>
  <c r="AC210" i="4"/>
  <c r="AF210" i="4"/>
  <c r="AG210" i="4"/>
  <c r="AH210" i="4"/>
  <c r="AJ210" i="4"/>
  <c r="AK210" i="4"/>
  <c r="AO210" i="4"/>
  <c r="AW210" i="4" s="1"/>
  <c r="AP210" i="4"/>
  <c r="AX210" i="4" s="1"/>
  <c r="BD210" i="4"/>
  <c r="BF210" i="4"/>
  <c r="BI210" i="4"/>
  <c r="AE210" i="4" s="1"/>
  <c r="BJ210" i="4"/>
  <c r="I212" i="4"/>
  <c r="K212" i="4"/>
  <c r="Z212" i="4"/>
  <c r="AB212" i="4"/>
  <c r="AC212" i="4"/>
  <c r="AF212" i="4"/>
  <c r="AG212" i="4"/>
  <c r="AH212" i="4"/>
  <c r="AJ212" i="4"/>
  <c r="AK212" i="4"/>
  <c r="AL212" i="4"/>
  <c r="AO212" i="4"/>
  <c r="AP212" i="4"/>
  <c r="AW212" i="4"/>
  <c r="AX212" i="4"/>
  <c r="BC212" i="4" s="1"/>
  <c r="BD212" i="4"/>
  <c r="BF212" i="4"/>
  <c r="BH212" i="4"/>
  <c r="AD212" i="4" s="1"/>
  <c r="BI212" i="4"/>
  <c r="AE212" i="4" s="1"/>
  <c r="BJ212" i="4"/>
  <c r="I215" i="4"/>
  <c r="K215" i="4"/>
  <c r="Z215" i="4"/>
  <c r="AB215" i="4"/>
  <c r="AC215" i="4"/>
  <c r="AF215" i="4"/>
  <c r="AG215" i="4"/>
  <c r="AH215" i="4"/>
  <c r="AJ215" i="4"/>
  <c r="AK215" i="4"/>
  <c r="AL215" i="4"/>
  <c r="AO215" i="4"/>
  <c r="AP215" i="4"/>
  <c r="AW215" i="4"/>
  <c r="AX215" i="4"/>
  <c r="BC215" i="4" s="1"/>
  <c r="BD215" i="4"/>
  <c r="BF215" i="4"/>
  <c r="BH215" i="4"/>
  <c r="AD215" i="4" s="1"/>
  <c r="BI215" i="4"/>
  <c r="AE215" i="4" s="1"/>
  <c r="BJ215" i="4"/>
  <c r="I217" i="4"/>
  <c r="K217" i="4"/>
  <c r="Z217" i="4"/>
  <c r="AB217" i="4"/>
  <c r="AC217" i="4"/>
  <c r="AF217" i="4"/>
  <c r="AG217" i="4"/>
  <c r="AH217" i="4"/>
  <c r="AJ217" i="4"/>
  <c r="AK217" i="4"/>
  <c r="AL217" i="4"/>
  <c r="AO217" i="4"/>
  <c r="AP217" i="4"/>
  <c r="AX217" i="4" s="1"/>
  <c r="BC217" i="4" s="1"/>
  <c r="AW217" i="4"/>
  <c r="BD217" i="4"/>
  <c r="BF217" i="4"/>
  <c r="BH217" i="4"/>
  <c r="AD217" i="4" s="1"/>
  <c r="BJ217" i="4"/>
  <c r="I220" i="4"/>
  <c r="K220" i="4"/>
  <c r="AL220" i="4" s="1"/>
  <c r="Z220" i="4"/>
  <c r="AB220" i="4"/>
  <c r="AC220" i="4"/>
  <c r="AF220" i="4"/>
  <c r="AG220" i="4"/>
  <c r="AH220" i="4"/>
  <c r="AJ220" i="4"/>
  <c r="AK220" i="4"/>
  <c r="AO220" i="4"/>
  <c r="AW220" i="4" s="1"/>
  <c r="AP220" i="4"/>
  <c r="AX220" i="4" s="1"/>
  <c r="BD220" i="4"/>
  <c r="BF220" i="4"/>
  <c r="BJ220" i="4"/>
  <c r="I222" i="4"/>
  <c r="K222" i="4"/>
  <c r="Z222" i="4"/>
  <c r="AB222" i="4"/>
  <c r="AC222" i="4"/>
  <c r="AF222" i="4"/>
  <c r="AG222" i="4"/>
  <c r="AH222" i="4"/>
  <c r="AJ222" i="4"/>
  <c r="AK222" i="4"/>
  <c r="AL222" i="4"/>
  <c r="AO222" i="4"/>
  <c r="AP222" i="4"/>
  <c r="AW222" i="4"/>
  <c r="AX222" i="4"/>
  <c r="BC222" i="4" s="1"/>
  <c r="BD222" i="4"/>
  <c r="BF222" i="4"/>
  <c r="BH222" i="4"/>
  <c r="AD222" i="4" s="1"/>
  <c r="BI222" i="4"/>
  <c r="AE222" i="4" s="1"/>
  <c r="BJ222" i="4"/>
  <c r="K225" i="4"/>
  <c r="AL225" i="4" s="1"/>
  <c r="Z225" i="4"/>
  <c r="AB225" i="4"/>
  <c r="AC225" i="4"/>
  <c r="AF225" i="4"/>
  <c r="AG225" i="4"/>
  <c r="AH225" i="4"/>
  <c r="AJ225" i="4"/>
  <c r="AK225" i="4"/>
  <c r="AO225" i="4"/>
  <c r="AW225" i="4" s="1"/>
  <c r="AP225" i="4"/>
  <c r="AX225" i="4" s="1"/>
  <c r="BD225" i="4"/>
  <c r="BF225" i="4"/>
  <c r="BH225" i="4"/>
  <c r="AD225" i="4" s="1"/>
  <c r="BI225" i="4"/>
  <c r="AE225" i="4" s="1"/>
  <c r="BJ225" i="4"/>
  <c r="I227" i="4"/>
  <c r="K227" i="4"/>
  <c r="AL227" i="4" s="1"/>
  <c r="Z227" i="4"/>
  <c r="AB227" i="4"/>
  <c r="AC227" i="4"/>
  <c r="AF227" i="4"/>
  <c r="AG227" i="4"/>
  <c r="AH227" i="4"/>
  <c r="AJ227" i="4"/>
  <c r="AK227" i="4"/>
  <c r="AO227" i="4"/>
  <c r="AP227" i="4"/>
  <c r="AW227" i="4"/>
  <c r="AX227" i="4"/>
  <c r="BD227" i="4"/>
  <c r="BF227" i="4"/>
  <c r="BH227" i="4"/>
  <c r="AD227" i="4" s="1"/>
  <c r="BI227" i="4"/>
  <c r="AE227" i="4" s="1"/>
  <c r="BJ227" i="4"/>
  <c r="I230" i="4"/>
  <c r="K230" i="4"/>
  <c r="AL230" i="4" s="1"/>
  <c r="Z230" i="4"/>
  <c r="AB230" i="4"/>
  <c r="AC230" i="4"/>
  <c r="AF230" i="4"/>
  <c r="AG230" i="4"/>
  <c r="AH230" i="4"/>
  <c r="AJ230" i="4"/>
  <c r="AK230" i="4"/>
  <c r="AO230" i="4"/>
  <c r="AP230" i="4"/>
  <c r="AW230" i="4"/>
  <c r="AX230" i="4"/>
  <c r="BD230" i="4"/>
  <c r="BF230" i="4"/>
  <c r="BH230" i="4"/>
  <c r="AD230" i="4" s="1"/>
  <c r="BI230" i="4"/>
  <c r="AE230" i="4" s="1"/>
  <c r="BJ230" i="4"/>
  <c r="I233" i="4"/>
  <c r="K233" i="4"/>
  <c r="AL233" i="4" s="1"/>
  <c r="Z233" i="4"/>
  <c r="AB233" i="4"/>
  <c r="AC233" i="4"/>
  <c r="AF233" i="4"/>
  <c r="AG233" i="4"/>
  <c r="AH233" i="4"/>
  <c r="AJ233" i="4"/>
  <c r="AK233" i="4"/>
  <c r="AO233" i="4"/>
  <c r="AP233" i="4"/>
  <c r="AW233" i="4"/>
  <c r="AX233" i="4"/>
  <c r="BD233" i="4"/>
  <c r="BF233" i="4"/>
  <c r="BH233" i="4"/>
  <c r="AD233" i="4" s="1"/>
  <c r="BI233" i="4"/>
  <c r="AE233" i="4" s="1"/>
  <c r="BJ233" i="4"/>
  <c r="I236" i="4"/>
  <c r="K236" i="4"/>
  <c r="AL236" i="4" s="1"/>
  <c r="Z236" i="4"/>
  <c r="AB236" i="4"/>
  <c r="AC236" i="4"/>
  <c r="AF236" i="4"/>
  <c r="AG236" i="4"/>
  <c r="AH236" i="4"/>
  <c r="AJ236" i="4"/>
  <c r="AK236" i="4"/>
  <c r="AO236" i="4"/>
  <c r="AP236" i="4"/>
  <c r="AW236" i="4"/>
  <c r="AX236" i="4"/>
  <c r="BD236" i="4"/>
  <c r="BF236" i="4"/>
  <c r="BH236" i="4"/>
  <c r="AD236" i="4" s="1"/>
  <c r="BI236" i="4"/>
  <c r="AE236" i="4" s="1"/>
  <c r="BJ236" i="4"/>
  <c r="I238" i="4"/>
  <c r="K238" i="4"/>
  <c r="AL238" i="4" s="1"/>
  <c r="Z238" i="4"/>
  <c r="AB238" i="4"/>
  <c r="AC238" i="4"/>
  <c r="AF238" i="4"/>
  <c r="AG238" i="4"/>
  <c r="AH238" i="4"/>
  <c r="AJ238" i="4"/>
  <c r="AK238" i="4"/>
  <c r="AO238" i="4"/>
  <c r="AP238" i="4"/>
  <c r="AW238" i="4"/>
  <c r="AX238" i="4"/>
  <c r="BD238" i="4"/>
  <c r="BF238" i="4"/>
  <c r="BH238" i="4"/>
  <c r="AD238" i="4" s="1"/>
  <c r="BI238" i="4"/>
  <c r="AE238" i="4" s="1"/>
  <c r="BJ238" i="4"/>
  <c r="I241" i="4"/>
  <c r="K241" i="4"/>
  <c r="AL241" i="4" s="1"/>
  <c r="Z241" i="4"/>
  <c r="AB241" i="4"/>
  <c r="AC241" i="4"/>
  <c r="AF241" i="4"/>
  <c r="AG241" i="4"/>
  <c r="AH241" i="4"/>
  <c r="AJ241" i="4"/>
  <c r="AK241" i="4"/>
  <c r="AO241" i="4"/>
  <c r="AP241" i="4"/>
  <c r="AW241" i="4"/>
  <c r="AX241" i="4"/>
  <c r="BD241" i="4"/>
  <c r="BF241" i="4"/>
  <c r="BH241" i="4"/>
  <c r="AD241" i="4" s="1"/>
  <c r="BI241" i="4"/>
  <c r="AE241" i="4" s="1"/>
  <c r="BJ241" i="4"/>
  <c r="I243" i="4"/>
  <c r="K243" i="4"/>
  <c r="AB243" i="4"/>
  <c r="AC243" i="4"/>
  <c r="AD243" i="4"/>
  <c r="AE243" i="4"/>
  <c r="AF243" i="4"/>
  <c r="AG243" i="4"/>
  <c r="AH243" i="4"/>
  <c r="AJ243" i="4"/>
  <c r="AK243" i="4"/>
  <c r="AL243" i="4"/>
  <c r="AO243" i="4"/>
  <c r="AP243" i="4"/>
  <c r="AX243" i="4" s="1"/>
  <c r="AW243" i="4"/>
  <c r="BD243" i="4"/>
  <c r="BF243" i="4"/>
  <c r="BH243" i="4"/>
  <c r="BJ243" i="4"/>
  <c r="Z243" i="4" s="1"/>
  <c r="I245" i="4"/>
  <c r="K245" i="4"/>
  <c r="AL245" i="4" s="1"/>
  <c r="Z245" i="4"/>
  <c r="AB245" i="4"/>
  <c r="AC245" i="4"/>
  <c r="AF245" i="4"/>
  <c r="AG245" i="4"/>
  <c r="AH245" i="4"/>
  <c r="AJ245" i="4"/>
  <c r="AK245" i="4"/>
  <c r="AO245" i="4"/>
  <c r="AP245" i="4"/>
  <c r="BI245" i="4" s="1"/>
  <c r="AE245" i="4" s="1"/>
  <c r="AW245" i="4"/>
  <c r="AX245" i="4"/>
  <c r="BD245" i="4"/>
  <c r="BF245" i="4"/>
  <c r="BH245" i="4"/>
  <c r="AD245" i="4" s="1"/>
  <c r="BJ245" i="4"/>
  <c r="I247" i="4"/>
  <c r="K247" i="4"/>
  <c r="Z247" i="4"/>
  <c r="AB247" i="4"/>
  <c r="AC247" i="4"/>
  <c r="AF247" i="4"/>
  <c r="AG247" i="4"/>
  <c r="AH247" i="4"/>
  <c r="AJ247" i="4"/>
  <c r="AK247" i="4"/>
  <c r="AL247" i="4"/>
  <c r="AO247" i="4"/>
  <c r="AP247" i="4"/>
  <c r="AW247" i="4"/>
  <c r="AX247" i="4"/>
  <c r="BC247" i="4" s="1"/>
  <c r="BD247" i="4"/>
  <c r="BF247" i="4"/>
  <c r="BH247" i="4"/>
  <c r="AD247" i="4" s="1"/>
  <c r="BI247" i="4"/>
  <c r="AE247" i="4" s="1"/>
  <c r="BJ247" i="4"/>
  <c r="I250" i="4"/>
  <c r="K250" i="4"/>
  <c r="Z250" i="4"/>
  <c r="AB250" i="4"/>
  <c r="AC250" i="4"/>
  <c r="AF250" i="4"/>
  <c r="AG250" i="4"/>
  <c r="AH250" i="4"/>
  <c r="AJ250" i="4"/>
  <c r="AK250" i="4"/>
  <c r="AL250" i="4"/>
  <c r="AO250" i="4"/>
  <c r="AW250" i="4" s="1"/>
  <c r="AP250" i="4"/>
  <c r="AX250" i="4" s="1"/>
  <c r="BD250" i="4"/>
  <c r="BF250" i="4"/>
  <c r="BH250" i="4"/>
  <c r="AD250" i="4" s="1"/>
  <c r="BJ250" i="4"/>
  <c r="I251" i="4"/>
  <c r="K251" i="4"/>
  <c r="AL251" i="4" s="1"/>
  <c r="Z251" i="4"/>
  <c r="AB251" i="4"/>
  <c r="AC251" i="4"/>
  <c r="AF251" i="4"/>
  <c r="AG251" i="4"/>
  <c r="AH251" i="4"/>
  <c r="AJ251" i="4"/>
  <c r="AK251" i="4"/>
  <c r="AO251" i="4"/>
  <c r="AW251" i="4" s="1"/>
  <c r="AP251" i="4"/>
  <c r="AX251" i="4" s="1"/>
  <c r="BD251" i="4"/>
  <c r="BF251" i="4"/>
  <c r="BH251" i="4"/>
  <c r="AD251" i="4" s="1"/>
  <c r="BI251" i="4"/>
  <c r="AE251" i="4" s="1"/>
  <c r="BJ251" i="4"/>
  <c r="I252" i="4"/>
  <c r="K252" i="4"/>
  <c r="Z252" i="4"/>
  <c r="AB252" i="4"/>
  <c r="AC252" i="4"/>
  <c r="AF252" i="4"/>
  <c r="AG252" i="4"/>
  <c r="AH252" i="4"/>
  <c r="AJ252" i="4"/>
  <c r="AK252" i="4"/>
  <c r="AL252" i="4"/>
  <c r="AO252" i="4"/>
  <c r="AP252" i="4"/>
  <c r="BI252" i="4" s="1"/>
  <c r="AE252" i="4" s="1"/>
  <c r="AW252" i="4"/>
  <c r="AX252" i="4"/>
  <c r="BD252" i="4"/>
  <c r="BF252" i="4"/>
  <c r="BH252" i="4"/>
  <c r="AD252" i="4" s="1"/>
  <c r="BJ252" i="4"/>
  <c r="I253" i="4"/>
  <c r="K253" i="4"/>
  <c r="AL253" i="4" s="1"/>
  <c r="Z253" i="4"/>
  <c r="AB253" i="4"/>
  <c r="AC253" i="4"/>
  <c r="AF253" i="4"/>
  <c r="AG253" i="4"/>
  <c r="AH253" i="4"/>
  <c r="AJ253" i="4"/>
  <c r="AK253" i="4"/>
  <c r="AO253" i="4"/>
  <c r="AP253" i="4"/>
  <c r="AW253" i="4"/>
  <c r="AX253" i="4"/>
  <c r="BD253" i="4"/>
  <c r="BF253" i="4"/>
  <c r="BH253" i="4"/>
  <c r="AD253" i="4" s="1"/>
  <c r="BI253" i="4"/>
  <c r="AE253" i="4" s="1"/>
  <c r="BJ253" i="4"/>
  <c r="I254" i="4"/>
  <c r="K254" i="4"/>
  <c r="AL254" i="4" s="1"/>
  <c r="Z254" i="4"/>
  <c r="AB254" i="4"/>
  <c r="AC254" i="4"/>
  <c r="AF254" i="4"/>
  <c r="AG254" i="4"/>
  <c r="AH254" i="4"/>
  <c r="AJ254" i="4"/>
  <c r="AK254" i="4"/>
  <c r="AO254" i="4"/>
  <c r="AP254" i="4"/>
  <c r="AW254" i="4"/>
  <c r="AX254" i="4"/>
  <c r="BD254" i="4"/>
  <c r="BF254" i="4"/>
  <c r="BH254" i="4"/>
  <c r="AD254" i="4" s="1"/>
  <c r="BI254" i="4"/>
  <c r="AE254" i="4" s="1"/>
  <c r="BJ254" i="4"/>
  <c r="I255" i="4"/>
  <c r="K255" i="4"/>
  <c r="AL255" i="4" s="1"/>
  <c r="Z255" i="4"/>
  <c r="AB255" i="4"/>
  <c r="AC255" i="4"/>
  <c r="AF255" i="4"/>
  <c r="AG255" i="4"/>
  <c r="AH255" i="4"/>
  <c r="AJ255" i="4"/>
  <c r="AK255" i="4"/>
  <c r="AO255" i="4"/>
  <c r="BH255" i="4" s="1"/>
  <c r="AD255" i="4" s="1"/>
  <c r="AP255" i="4"/>
  <c r="AX255" i="4" s="1"/>
  <c r="AW255" i="4"/>
  <c r="BD255" i="4"/>
  <c r="BF255" i="4"/>
  <c r="BJ255" i="4"/>
  <c r="I256" i="4"/>
  <c r="K256" i="4"/>
  <c r="Z256" i="4"/>
  <c r="AB256" i="4"/>
  <c r="AC256" i="4"/>
  <c r="AF256" i="4"/>
  <c r="AG256" i="4"/>
  <c r="AH256" i="4"/>
  <c r="AJ256" i="4"/>
  <c r="AK256" i="4"/>
  <c r="AL256" i="4"/>
  <c r="AO256" i="4"/>
  <c r="AP256" i="4"/>
  <c r="AW256" i="4"/>
  <c r="AX256" i="4"/>
  <c r="BC256" i="4" s="1"/>
  <c r="BD256" i="4"/>
  <c r="BF256" i="4"/>
  <c r="BH256" i="4"/>
  <c r="AD256" i="4" s="1"/>
  <c r="BI256" i="4"/>
  <c r="AE256" i="4" s="1"/>
  <c r="BJ256" i="4"/>
  <c r="I257" i="4"/>
  <c r="K257" i="4"/>
  <c r="AL257" i="4" s="1"/>
  <c r="Z257" i="4"/>
  <c r="AB257" i="4"/>
  <c r="AC257" i="4"/>
  <c r="AF257" i="4"/>
  <c r="AG257" i="4"/>
  <c r="AH257" i="4"/>
  <c r="AJ257" i="4"/>
  <c r="AK257" i="4"/>
  <c r="AO257" i="4"/>
  <c r="AW257" i="4" s="1"/>
  <c r="AP257" i="4"/>
  <c r="AX257" i="4" s="1"/>
  <c r="BD257" i="4"/>
  <c r="BF257" i="4"/>
  <c r="BH257" i="4"/>
  <c r="AD257" i="4" s="1"/>
  <c r="BI257" i="4"/>
  <c r="AE257" i="4" s="1"/>
  <c r="BJ257" i="4"/>
  <c r="I258" i="4"/>
  <c r="K258" i="4"/>
  <c r="AL258" i="4" s="1"/>
  <c r="Z258" i="4"/>
  <c r="AB258" i="4"/>
  <c r="AC258" i="4"/>
  <c r="AF258" i="4"/>
  <c r="AG258" i="4"/>
  <c r="AH258" i="4"/>
  <c r="AJ258" i="4"/>
  <c r="AK258" i="4"/>
  <c r="AO258" i="4"/>
  <c r="AW258" i="4" s="1"/>
  <c r="AP258" i="4"/>
  <c r="AX258" i="4" s="1"/>
  <c r="BD258" i="4"/>
  <c r="BF258" i="4"/>
  <c r="BJ258" i="4"/>
  <c r="I260" i="4"/>
  <c r="K260" i="4"/>
  <c r="Z260" i="4"/>
  <c r="AB260" i="4"/>
  <c r="AC260" i="4"/>
  <c r="AF260" i="4"/>
  <c r="AG260" i="4"/>
  <c r="AH260" i="4"/>
  <c r="AJ260" i="4"/>
  <c r="AK260" i="4"/>
  <c r="AL260" i="4"/>
  <c r="AO260" i="4"/>
  <c r="AW260" i="4" s="1"/>
  <c r="AP260" i="4"/>
  <c r="AX260" i="4" s="1"/>
  <c r="BD260" i="4"/>
  <c r="BF260" i="4"/>
  <c r="BH260" i="4"/>
  <c r="AD260" i="4" s="1"/>
  <c r="BJ260" i="4"/>
  <c r="I262" i="4"/>
  <c r="K262" i="4"/>
  <c r="AL262" i="4" s="1"/>
  <c r="Z262" i="4"/>
  <c r="AB262" i="4"/>
  <c r="AC262" i="4"/>
  <c r="AF262" i="4"/>
  <c r="AG262" i="4"/>
  <c r="AH262" i="4"/>
  <c r="AJ262" i="4"/>
  <c r="AK262" i="4"/>
  <c r="AO262" i="4"/>
  <c r="AW262" i="4" s="1"/>
  <c r="AP262" i="4"/>
  <c r="AX262" i="4" s="1"/>
  <c r="BD262" i="4"/>
  <c r="BF262" i="4"/>
  <c r="BH262" i="4"/>
  <c r="AD262" i="4" s="1"/>
  <c r="BI262" i="4"/>
  <c r="AE262" i="4" s="1"/>
  <c r="BJ262" i="4"/>
  <c r="I264" i="4"/>
  <c r="K264" i="4"/>
  <c r="Z264" i="4"/>
  <c r="AB264" i="4"/>
  <c r="AC264" i="4"/>
  <c r="AF264" i="4"/>
  <c r="AG264" i="4"/>
  <c r="AH264" i="4"/>
  <c r="AJ264" i="4"/>
  <c r="AK264" i="4"/>
  <c r="AL264" i="4"/>
  <c r="AO264" i="4"/>
  <c r="AP264" i="4"/>
  <c r="AW264" i="4"/>
  <c r="AX264" i="4"/>
  <c r="BD264" i="4"/>
  <c r="BF264" i="4"/>
  <c r="BH264" i="4"/>
  <c r="AD264" i="4" s="1"/>
  <c r="BI264" i="4"/>
  <c r="AE264" i="4" s="1"/>
  <c r="BJ264" i="4"/>
  <c r="I266" i="4"/>
  <c r="K266" i="4"/>
  <c r="AL266" i="4" s="1"/>
  <c r="Z266" i="4"/>
  <c r="AB266" i="4"/>
  <c r="AC266" i="4"/>
  <c r="AF266" i="4"/>
  <c r="AG266" i="4"/>
  <c r="AH266" i="4"/>
  <c r="AJ266" i="4"/>
  <c r="AK266" i="4"/>
  <c r="AO266" i="4"/>
  <c r="BH266" i="4" s="1"/>
  <c r="AD266" i="4" s="1"/>
  <c r="AP266" i="4"/>
  <c r="AX266" i="4" s="1"/>
  <c r="AW266" i="4"/>
  <c r="BD266" i="4"/>
  <c r="BF266" i="4"/>
  <c r="BI266" i="4"/>
  <c r="AE266" i="4" s="1"/>
  <c r="BJ266" i="4"/>
  <c r="I269" i="4"/>
  <c r="K269" i="4"/>
  <c r="Z269" i="4"/>
  <c r="AB269" i="4"/>
  <c r="AC269" i="4"/>
  <c r="AF269" i="4"/>
  <c r="AG269" i="4"/>
  <c r="AH269" i="4"/>
  <c r="AJ269" i="4"/>
  <c r="AK269" i="4"/>
  <c r="AL269" i="4"/>
  <c r="AO269" i="4"/>
  <c r="AW269" i="4" s="1"/>
  <c r="AP269" i="4"/>
  <c r="AX269" i="4" s="1"/>
  <c r="BD269" i="4"/>
  <c r="BF269" i="4"/>
  <c r="BH269" i="4"/>
  <c r="AD269" i="4" s="1"/>
  <c r="BI269" i="4"/>
  <c r="AE269" i="4" s="1"/>
  <c r="BJ269" i="4"/>
  <c r="I271" i="4"/>
  <c r="K271" i="4"/>
  <c r="Z271" i="4"/>
  <c r="AB271" i="4"/>
  <c r="AC271" i="4"/>
  <c r="AF271" i="4"/>
  <c r="AG271" i="4"/>
  <c r="AH271" i="4"/>
  <c r="AJ271" i="4"/>
  <c r="AK271" i="4"/>
  <c r="AL271" i="4"/>
  <c r="AO271" i="4"/>
  <c r="AP271" i="4"/>
  <c r="AW271" i="4"/>
  <c r="AX271" i="4"/>
  <c r="BC271" i="4" s="1"/>
  <c r="BD271" i="4"/>
  <c r="BF271" i="4"/>
  <c r="BH271" i="4"/>
  <c r="AD271" i="4" s="1"/>
  <c r="BI271" i="4"/>
  <c r="AE271" i="4" s="1"/>
  <c r="BJ271" i="4"/>
  <c r="I274" i="4"/>
  <c r="K274" i="4"/>
  <c r="Z274" i="4"/>
  <c r="AB274" i="4"/>
  <c r="AC274" i="4"/>
  <c r="AF274" i="4"/>
  <c r="AG274" i="4"/>
  <c r="AH274" i="4"/>
  <c r="AJ274" i="4"/>
  <c r="AK274" i="4"/>
  <c r="AL274" i="4"/>
  <c r="AO274" i="4"/>
  <c r="AP274" i="4"/>
  <c r="AX274" i="4" s="1"/>
  <c r="BC274" i="4" s="1"/>
  <c r="AW274" i="4"/>
  <c r="BD274" i="4"/>
  <c r="BF274" i="4"/>
  <c r="BH274" i="4"/>
  <c r="AD274" i="4" s="1"/>
  <c r="BJ274" i="4"/>
  <c r="I276" i="4"/>
  <c r="K276" i="4"/>
  <c r="AL276" i="4" s="1"/>
  <c r="Z276" i="4"/>
  <c r="AB276" i="4"/>
  <c r="AC276" i="4"/>
  <c r="AF276" i="4"/>
  <c r="AG276" i="4"/>
  <c r="AH276" i="4"/>
  <c r="AJ276" i="4"/>
  <c r="AK276" i="4"/>
  <c r="AO276" i="4"/>
  <c r="AW276" i="4" s="1"/>
  <c r="AP276" i="4"/>
  <c r="AX276" i="4" s="1"/>
  <c r="BD276" i="4"/>
  <c r="BF276" i="4"/>
  <c r="BI276" i="4"/>
  <c r="AE276" i="4" s="1"/>
  <c r="BJ276" i="4"/>
  <c r="I279" i="4"/>
  <c r="K279" i="4"/>
  <c r="Z279" i="4"/>
  <c r="AB279" i="4"/>
  <c r="AC279" i="4"/>
  <c r="AF279" i="4"/>
  <c r="AG279" i="4"/>
  <c r="AH279" i="4"/>
  <c r="AJ279" i="4"/>
  <c r="AK279" i="4"/>
  <c r="AL279" i="4"/>
  <c r="AO279" i="4"/>
  <c r="AW279" i="4" s="1"/>
  <c r="AP279" i="4"/>
  <c r="AX279" i="4" s="1"/>
  <c r="BD279" i="4"/>
  <c r="BF279" i="4"/>
  <c r="BH279" i="4"/>
  <c r="AD279" i="4" s="1"/>
  <c r="BI279" i="4"/>
  <c r="AE279" i="4" s="1"/>
  <c r="BJ279" i="4"/>
  <c r="I281" i="4"/>
  <c r="K281" i="4"/>
  <c r="Z281" i="4"/>
  <c r="AB281" i="4"/>
  <c r="AC281" i="4"/>
  <c r="AF281" i="4"/>
  <c r="AG281" i="4"/>
  <c r="AH281" i="4"/>
  <c r="AJ281" i="4"/>
  <c r="AK281" i="4"/>
  <c r="AL281" i="4"/>
  <c r="AO281" i="4"/>
  <c r="AW281" i="4" s="1"/>
  <c r="AP281" i="4"/>
  <c r="AX281" i="4" s="1"/>
  <c r="BD281" i="4"/>
  <c r="BF281" i="4"/>
  <c r="BH281" i="4"/>
  <c r="AD281" i="4" s="1"/>
  <c r="BI281" i="4"/>
  <c r="AE281" i="4" s="1"/>
  <c r="BJ281" i="4"/>
  <c r="I284" i="4"/>
  <c r="K284" i="4"/>
  <c r="AL284" i="4" s="1"/>
  <c r="Z284" i="4"/>
  <c r="AB284" i="4"/>
  <c r="AC284" i="4"/>
  <c r="AF284" i="4"/>
  <c r="AG284" i="4"/>
  <c r="AH284" i="4"/>
  <c r="AJ284" i="4"/>
  <c r="AK284" i="4"/>
  <c r="AO284" i="4"/>
  <c r="AP284" i="4"/>
  <c r="AW284" i="4"/>
  <c r="AX284" i="4"/>
  <c r="BD284" i="4"/>
  <c r="BF284" i="4"/>
  <c r="BH284" i="4"/>
  <c r="AD284" i="4" s="1"/>
  <c r="BI284" i="4"/>
  <c r="AE284" i="4" s="1"/>
  <c r="BJ284" i="4"/>
  <c r="I286" i="4"/>
  <c r="K286" i="4"/>
  <c r="AL286" i="4" s="1"/>
  <c r="Z286" i="4"/>
  <c r="AB286" i="4"/>
  <c r="AC286" i="4"/>
  <c r="AF286" i="4"/>
  <c r="AG286" i="4"/>
  <c r="AH286" i="4"/>
  <c r="AJ286" i="4"/>
  <c r="AK286" i="4"/>
  <c r="AO286" i="4"/>
  <c r="BH286" i="4" s="1"/>
  <c r="AD286" i="4" s="1"/>
  <c r="AP286" i="4"/>
  <c r="BI286" i="4" s="1"/>
  <c r="AE286" i="4" s="1"/>
  <c r="AW286" i="4"/>
  <c r="AX286" i="4"/>
  <c r="BD286" i="4"/>
  <c r="BF286" i="4"/>
  <c r="BJ286" i="4"/>
  <c r="K289" i="4"/>
  <c r="AB289" i="4"/>
  <c r="AC289" i="4"/>
  <c r="AD289" i="4"/>
  <c r="AE289" i="4"/>
  <c r="AF289" i="4"/>
  <c r="AG289" i="4"/>
  <c r="AH289" i="4"/>
  <c r="AJ289" i="4"/>
  <c r="AK289" i="4"/>
  <c r="AL289" i="4"/>
  <c r="AO289" i="4"/>
  <c r="AP289" i="4"/>
  <c r="AX289" i="4" s="1"/>
  <c r="AW289" i="4"/>
  <c r="BD289" i="4"/>
  <c r="BF289" i="4"/>
  <c r="BH289" i="4"/>
  <c r="BJ289" i="4"/>
  <c r="Z289" i="4" s="1"/>
  <c r="I291" i="4"/>
  <c r="K291" i="4"/>
  <c r="AL291" i="4" s="1"/>
  <c r="Z291" i="4"/>
  <c r="AB291" i="4"/>
  <c r="AC291" i="4"/>
  <c r="AF291" i="4"/>
  <c r="AG291" i="4"/>
  <c r="AH291" i="4"/>
  <c r="AJ291" i="4"/>
  <c r="AK291" i="4"/>
  <c r="AO291" i="4"/>
  <c r="AW291" i="4" s="1"/>
  <c r="AP291" i="4"/>
  <c r="AX291" i="4" s="1"/>
  <c r="BD291" i="4"/>
  <c r="BF291" i="4"/>
  <c r="BH291" i="4"/>
  <c r="AD291" i="4" s="1"/>
  <c r="BJ291" i="4"/>
  <c r="I292" i="4"/>
  <c r="K292" i="4"/>
  <c r="AL292" i="4" s="1"/>
  <c r="Z292" i="4"/>
  <c r="AB292" i="4"/>
  <c r="AC292" i="4"/>
  <c r="AF292" i="4"/>
  <c r="AG292" i="4"/>
  <c r="AH292" i="4"/>
  <c r="AJ292" i="4"/>
  <c r="AK292" i="4"/>
  <c r="AO292" i="4"/>
  <c r="AW292" i="4" s="1"/>
  <c r="AP292" i="4"/>
  <c r="AX292" i="4"/>
  <c r="BD292" i="4"/>
  <c r="BF292" i="4"/>
  <c r="BH292" i="4"/>
  <c r="AD292" i="4" s="1"/>
  <c r="BI292" i="4"/>
  <c r="AE292" i="4" s="1"/>
  <c r="BJ292" i="4"/>
  <c r="I293" i="4"/>
  <c r="K293" i="4"/>
  <c r="AL293" i="4" s="1"/>
  <c r="Z293" i="4"/>
  <c r="AB293" i="4"/>
  <c r="AC293" i="4"/>
  <c r="AF293" i="4"/>
  <c r="AG293" i="4"/>
  <c r="AH293" i="4"/>
  <c r="AJ293" i="4"/>
  <c r="AK293" i="4"/>
  <c r="AO293" i="4"/>
  <c r="AP293" i="4"/>
  <c r="AW293" i="4"/>
  <c r="AX293" i="4"/>
  <c r="BD293" i="4"/>
  <c r="BF293" i="4"/>
  <c r="BH293" i="4"/>
  <c r="AD293" i="4" s="1"/>
  <c r="BI293" i="4"/>
  <c r="AE293" i="4" s="1"/>
  <c r="BJ293" i="4"/>
  <c r="I294" i="4"/>
  <c r="K294" i="4"/>
  <c r="AL294" i="4" s="1"/>
  <c r="Z294" i="4"/>
  <c r="AB294" i="4"/>
  <c r="AC294" i="4"/>
  <c r="AF294" i="4"/>
  <c r="AG294" i="4"/>
  <c r="AH294" i="4"/>
  <c r="AJ294" i="4"/>
  <c r="AK294" i="4"/>
  <c r="AO294" i="4"/>
  <c r="AW294" i="4" s="1"/>
  <c r="AP294" i="4"/>
  <c r="AX294" i="4" s="1"/>
  <c r="BD294" i="4"/>
  <c r="BF294" i="4"/>
  <c r="BH294" i="4"/>
  <c r="AD294" i="4" s="1"/>
  <c r="BI294" i="4"/>
  <c r="AE294" i="4" s="1"/>
  <c r="BJ294" i="4"/>
  <c r="I295" i="4"/>
  <c r="K295" i="4"/>
  <c r="AL295" i="4" s="1"/>
  <c r="Z295" i="4"/>
  <c r="AB295" i="4"/>
  <c r="AC295" i="4"/>
  <c r="AF295" i="4"/>
  <c r="AG295" i="4"/>
  <c r="AH295" i="4"/>
  <c r="AJ295" i="4"/>
  <c r="AK295" i="4"/>
  <c r="AO295" i="4"/>
  <c r="AW295" i="4" s="1"/>
  <c r="AP295" i="4"/>
  <c r="BI295" i="4" s="1"/>
  <c r="AE295" i="4" s="1"/>
  <c r="AX295" i="4"/>
  <c r="BD295" i="4"/>
  <c r="BF295" i="4"/>
  <c r="BH295" i="4"/>
  <c r="AD295" i="4" s="1"/>
  <c r="BJ295" i="4"/>
  <c r="I296" i="4"/>
  <c r="K296" i="4"/>
  <c r="Z296" i="4"/>
  <c r="AB296" i="4"/>
  <c r="AC296" i="4"/>
  <c r="AF296" i="4"/>
  <c r="AG296" i="4"/>
  <c r="AH296" i="4"/>
  <c r="AJ296" i="4"/>
  <c r="AK296" i="4"/>
  <c r="AL296" i="4"/>
  <c r="AO296" i="4"/>
  <c r="AP296" i="4"/>
  <c r="AW296" i="4"/>
  <c r="AX296" i="4"/>
  <c r="BC296" i="4" s="1"/>
  <c r="BD296" i="4"/>
  <c r="BF296" i="4"/>
  <c r="BH296" i="4"/>
  <c r="AD296" i="4" s="1"/>
  <c r="BI296" i="4"/>
  <c r="AE296" i="4" s="1"/>
  <c r="BJ296" i="4"/>
  <c r="I297" i="4"/>
  <c r="K297" i="4"/>
  <c r="Z297" i="4"/>
  <c r="AB297" i="4"/>
  <c r="AC297" i="4"/>
  <c r="AF297" i="4"/>
  <c r="AG297" i="4"/>
  <c r="AH297" i="4"/>
  <c r="AJ297" i="4"/>
  <c r="AK297" i="4"/>
  <c r="AL297" i="4"/>
  <c r="AO297" i="4"/>
  <c r="AP297" i="4"/>
  <c r="AW297" i="4"/>
  <c r="AX297" i="4"/>
  <c r="BC297" i="4" s="1"/>
  <c r="BD297" i="4"/>
  <c r="BF297" i="4"/>
  <c r="BH297" i="4"/>
  <c r="AD297" i="4" s="1"/>
  <c r="BI297" i="4"/>
  <c r="AE297" i="4" s="1"/>
  <c r="BJ297" i="4"/>
  <c r="I298" i="4"/>
  <c r="K298" i="4"/>
  <c r="Z298" i="4"/>
  <c r="AB298" i="4"/>
  <c r="AC298" i="4"/>
  <c r="AF298" i="4"/>
  <c r="AG298" i="4"/>
  <c r="AH298" i="4"/>
  <c r="AJ298" i="4"/>
  <c r="AK298" i="4"/>
  <c r="AL298" i="4"/>
  <c r="AO298" i="4"/>
  <c r="AW298" i="4" s="1"/>
  <c r="AP298" i="4"/>
  <c r="AX298" i="4" s="1"/>
  <c r="BD298" i="4"/>
  <c r="BF298" i="4"/>
  <c r="BH298" i="4"/>
  <c r="AD298" i="4" s="1"/>
  <c r="BI298" i="4"/>
  <c r="AE298" i="4" s="1"/>
  <c r="BJ298" i="4"/>
  <c r="I299" i="4"/>
  <c r="K299" i="4"/>
  <c r="Z299" i="4"/>
  <c r="AB299" i="4"/>
  <c r="AC299" i="4"/>
  <c r="AF299" i="4"/>
  <c r="AG299" i="4"/>
  <c r="AH299" i="4"/>
  <c r="AJ299" i="4"/>
  <c r="AK299" i="4"/>
  <c r="AL299" i="4"/>
  <c r="AO299" i="4"/>
  <c r="AW299" i="4" s="1"/>
  <c r="AP299" i="4"/>
  <c r="AX299" i="4" s="1"/>
  <c r="BD299" i="4"/>
  <c r="BF299" i="4"/>
  <c r="BH299" i="4"/>
  <c r="AD299" i="4" s="1"/>
  <c r="BJ299" i="4"/>
  <c r="I300" i="4"/>
  <c r="K300" i="4"/>
  <c r="AL300" i="4" s="1"/>
  <c r="Z300" i="4"/>
  <c r="AB300" i="4"/>
  <c r="AC300" i="4"/>
  <c r="AF300" i="4"/>
  <c r="AG300" i="4"/>
  <c r="AH300" i="4"/>
  <c r="AJ300" i="4"/>
  <c r="AK300" i="4"/>
  <c r="AO300" i="4"/>
  <c r="AP300" i="4"/>
  <c r="AW300" i="4"/>
  <c r="AX300" i="4"/>
  <c r="BD300" i="4"/>
  <c r="BF300" i="4"/>
  <c r="BH300" i="4"/>
  <c r="AD300" i="4" s="1"/>
  <c r="BI300" i="4"/>
  <c r="AE300" i="4" s="1"/>
  <c r="BJ300" i="4"/>
  <c r="I302" i="4"/>
  <c r="K302" i="4"/>
  <c r="Z302" i="4"/>
  <c r="AB302" i="4"/>
  <c r="AC302" i="4"/>
  <c r="AF302" i="4"/>
  <c r="AG302" i="4"/>
  <c r="AH302" i="4"/>
  <c r="AJ302" i="4"/>
  <c r="AK302" i="4"/>
  <c r="AL302" i="4"/>
  <c r="AO302" i="4"/>
  <c r="AW302" i="4" s="1"/>
  <c r="AP302" i="4"/>
  <c r="AX302" i="4" s="1"/>
  <c r="BD302" i="4"/>
  <c r="BF302" i="4"/>
  <c r="BH302" i="4"/>
  <c r="AD302" i="4" s="1"/>
  <c r="BI302" i="4"/>
  <c r="AE302" i="4" s="1"/>
  <c r="BJ302" i="4"/>
  <c r="I305" i="4"/>
  <c r="K305" i="4"/>
  <c r="AL305" i="4" s="1"/>
  <c r="Z305" i="4"/>
  <c r="AB305" i="4"/>
  <c r="AC305" i="4"/>
  <c r="AF305" i="4"/>
  <c r="AG305" i="4"/>
  <c r="AH305" i="4"/>
  <c r="AJ305" i="4"/>
  <c r="AK305" i="4"/>
  <c r="AO305" i="4"/>
  <c r="AW305" i="4" s="1"/>
  <c r="AP305" i="4"/>
  <c r="AX305" i="4" s="1"/>
  <c r="BD305" i="4"/>
  <c r="BF305" i="4"/>
  <c r="BH305" i="4"/>
  <c r="AD305" i="4" s="1"/>
  <c r="BI305" i="4"/>
  <c r="AE305" i="4" s="1"/>
  <c r="BJ305" i="4"/>
  <c r="I310" i="4"/>
  <c r="K310" i="4"/>
  <c r="Z310" i="4"/>
  <c r="AB310" i="4"/>
  <c r="AC310" i="4"/>
  <c r="AF310" i="4"/>
  <c r="AG310" i="4"/>
  <c r="AH310" i="4"/>
  <c r="AJ310" i="4"/>
  <c r="AK310" i="4"/>
  <c r="AL310" i="4"/>
  <c r="AO310" i="4"/>
  <c r="AW310" i="4" s="1"/>
  <c r="AP310" i="4"/>
  <c r="AX310" i="4" s="1"/>
  <c r="BD310" i="4"/>
  <c r="BF310" i="4"/>
  <c r="BH310" i="4"/>
  <c r="AD310" i="4" s="1"/>
  <c r="BI310" i="4"/>
  <c r="AE310" i="4" s="1"/>
  <c r="BJ310" i="4"/>
  <c r="I313" i="4"/>
  <c r="K313" i="4"/>
  <c r="AL313" i="4" s="1"/>
  <c r="Z313" i="4"/>
  <c r="AB313" i="4"/>
  <c r="AC313" i="4"/>
  <c r="AF313" i="4"/>
  <c r="AG313" i="4"/>
  <c r="AH313" i="4"/>
  <c r="AJ313" i="4"/>
  <c r="AK313" i="4"/>
  <c r="AO313" i="4"/>
  <c r="AW313" i="4" s="1"/>
  <c r="AP313" i="4"/>
  <c r="AX313" i="4" s="1"/>
  <c r="BD313" i="4"/>
  <c r="BF313" i="4"/>
  <c r="BI313" i="4"/>
  <c r="AE313" i="4" s="1"/>
  <c r="BJ313" i="4"/>
  <c r="I315" i="4"/>
  <c r="K315" i="4"/>
  <c r="Z315" i="4"/>
  <c r="AB315" i="4"/>
  <c r="AC315" i="4"/>
  <c r="AF315" i="4"/>
  <c r="AG315" i="4"/>
  <c r="AH315" i="4"/>
  <c r="AJ315" i="4"/>
  <c r="AK315" i="4"/>
  <c r="AL315" i="4"/>
  <c r="AO315" i="4"/>
  <c r="AP315" i="4"/>
  <c r="AW315" i="4"/>
  <c r="AX315" i="4"/>
  <c r="BC315" i="4" s="1"/>
  <c r="BD315" i="4"/>
  <c r="BF315" i="4"/>
  <c r="BH315" i="4"/>
  <c r="AD315" i="4" s="1"/>
  <c r="BI315" i="4"/>
  <c r="AE315" i="4" s="1"/>
  <c r="BJ315" i="4"/>
  <c r="I327" i="4"/>
  <c r="K327" i="4"/>
  <c r="Z327" i="4"/>
  <c r="AB327" i="4"/>
  <c r="AC327" i="4"/>
  <c r="AF327" i="4"/>
  <c r="AG327" i="4"/>
  <c r="AH327" i="4"/>
  <c r="AJ327" i="4"/>
  <c r="AK327" i="4"/>
  <c r="AL327" i="4"/>
  <c r="AO327" i="4"/>
  <c r="AW327" i="4" s="1"/>
  <c r="AP327" i="4"/>
  <c r="AX327" i="4" s="1"/>
  <c r="BD327" i="4"/>
  <c r="BF327" i="4"/>
  <c r="BH327" i="4"/>
  <c r="AD327" i="4" s="1"/>
  <c r="BI327" i="4"/>
  <c r="AE327" i="4" s="1"/>
  <c r="BJ327" i="4"/>
  <c r="I329" i="4"/>
  <c r="K329" i="4"/>
  <c r="Z329" i="4"/>
  <c r="AB329" i="4"/>
  <c r="AC329" i="4"/>
  <c r="AF329" i="4"/>
  <c r="AG329" i="4"/>
  <c r="AH329" i="4"/>
  <c r="AJ329" i="4"/>
  <c r="AK329" i="4"/>
  <c r="AL329" i="4"/>
  <c r="AO329" i="4"/>
  <c r="AW329" i="4" s="1"/>
  <c r="AP329" i="4"/>
  <c r="AX329" i="4" s="1"/>
  <c r="BD329" i="4"/>
  <c r="BF329" i="4"/>
  <c r="BH329" i="4"/>
  <c r="AD329" i="4" s="1"/>
  <c r="BJ329" i="4"/>
  <c r="I331" i="4"/>
  <c r="K331" i="4"/>
  <c r="Z331" i="4"/>
  <c r="AB331" i="4"/>
  <c r="AC331" i="4"/>
  <c r="AF331" i="4"/>
  <c r="AG331" i="4"/>
  <c r="AH331" i="4"/>
  <c r="AJ331" i="4"/>
  <c r="AK331" i="4"/>
  <c r="AL331" i="4"/>
  <c r="AO331" i="4"/>
  <c r="AW331" i="4" s="1"/>
  <c r="AP331" i="4"/>
  <c r="AX331" i="4" s="1"/>
  <c r="BD331" i="4"/>
  <c r="BF331" i="4"/>
  <c r="BH331" i="4"/>
  <c r="AD331" i="4" s="1"/>
  <c r="BI331" i="4"/>
  <c r="AE331" i="4" s="1"/>
  <c r="BJ331" i="4"/>
  <c r="I334" i="4"/>
  <c r="K334" i="4"/>
  <c r="Z334" i="4"/>
  <c r="AB334" i="4"/>
  <c r="AC334" i="4"/>
  <c r="AF334" i="4"/>
  <c r="AG334" i="4"/>
  <c r="AH334" i="4"/>
  <c r="AJ334" i="4"/>
  <c r="AK334" i="4"/>
  <c r="AL334" i="4"/>
  <c r="AO334" i="4"/>
  <c r="AP334" i="4"/>
  <c r="AW334" i="4"/>
  <c r="AX334" i="4"/>
  <c r="BD334" i="4"/>
  <c r="BF334" i="4"/>
  <c r="BH334" i="4"/>
  <c r="AD334" i="4" s="1"/>
  <c r="BI334" i="4"/>
  <c r="AE334" i="4" s="1"/>
  <c r="BJ334" i="4"/>
  <c r="I337" i="4"/>
  <c r="K337" i="4"/>
  <c r="Z337" i="4"/>
  <c r="AB337" i="4"/>
  <c r="AC337" i="4"/>
  <c r="AF337" i="4"/>
  <c r="AG337" i="4"/>
  <c r="AH337" i="4"/>
  <c r="AJ337" i="4"/>
  <c r="AK337" i="4"/>
  <c r="AL337" i="4"/>
  <c r="AO337" i="4"/>
  <c r="AP337" i="4"/>
  <c r="AW337" i="4"/>
  <c r="AX337" i="4"/>
  <c r="BD337" i="4"/>
  <c r="BF337" i="4"/>
  <c r="BH337" i="4"/>
  <c r="AD337" i="4" s="1"/>
  <c r="BI337" i="4"/>
  <c r="AE337" i="4" s="1"/>
  <c r="BJ337" i="4"/>
  <c r="I344" i="4"/>
  <c r="K344" i="4"/>
  <c r="Z344" i="4"/>
  <c r="AB344" i="4"/>
  <c r="AC344" i="4"/>
  <c r="AF344" i="4"/>
  <c r="AG344" i="4"/>
  <c r="AH344" i="4"/>
  <c r="AJ344" i="4"/>
  <c r="AK344" i="4"/>
  <c r="AL344" i="4"/>
  <c r="AO344" i="4"/>
  <c r="AW344" i="4" s="1"/>
  <c r="AP344" i="4"/>
  <c r="AX344" i="4" s="1"/>
  <c r="BD344" i="4"/>
  <c r="BF344" i="4"/>
  <c r="BH344" i="4"/>
  <c r="AD344" i="4" s="1"/>
  <c r="BI344" i="4"/>
  <c r="AE344" i="4" s="1"/>
  <c r="BJ344" i="4"/>
  <c r="I346" i="4"/>
  <c r="K346" i="4"/>
  <c r="K345" i="4" s="1"/>
  <c r="Z346" i="4"/>
  <c r="AB346" i="4"/>
  <c r="AC346" i="4"/>
  <c r="AF346" i="4"/>
  <c r="AG346" i="4"/>
  <c r="AH346" i="4"/>
  <c r="AJ346" i="4"/>
  <c r="AS345" i="4" s="1"/>
  <c r="AK346" i="4"/>
  <c r="AT345" i="4" s="1"/>
  <c r="AL346" i="4"/>
  <c r="AU345" i="4" s="1"/>
  <c r="AO346" i="4"/>
  <c r="AW346" i="4" s="1"/>
  <c r="AP346" i="4"/>
  <c r="AX346" i="4" s="1"/>
  <c r="BD346" i="4"/>
  <c r="BF346" i="4"/>
  <c r="BH346" i="4"/>
  <c r="AD346" i="4" s="1"/>
  <c r="BJ346" i="4"/>
  <c r="I354" i="4"/>
  <c r="K354" i="4"/>
  <c r="AL354" i="4" s="1"/>
  <c r="Z354" i="4"/>
  <c r="AB354" i="4"/>
  <c r="AC354" i="4"/>
  <c r="AF354" i="4"/>
  <c r="AG354" i="4"/>
  <c r="AH354" i="4"/>
  <c r="AJ354" i="4"/>
  <c r="AK354" i="4"/>
  <c r="AO354" i="4"/>
  <c r="AW354" i="4" s="1"/>
  <c r="AP354" i="4"/>
  <c r="AX354" i="4" s="1"/>
  <c r="BD354" i="4"/>
  <c r="BF354" i="4"/>
  <c r="BH354" i="4"/>
  <c r="AD354" i="4" s="1"/>
  <c r="BJ354" i="4"/>
  <c r="I355" i="4"/>
  <c r="K355" i="4"/>
  <c r="Z355" i="4"/>
  <c r="AB355" i="4"/>
  <c r="AC355" i="4"/>
  <c r="AF355" i="4"/>
  <c r="AG355" i="4"/>
  <c r="AH355" i="4"/>
  <c r="AJ355" i="4"/>
  <c r="AK355" i="4"/>
  <c r="AL355" i="4"/>
  <c r="AO355" i="4"/>
  <c r="BH355" i="4" s="1"/>
  <c r="AD355" i="4" s="1"/>
  <c r="AP355" i="4"/>
  <c r="AW355" i="4"/>
  <c r="AX355" i="4"/>
  <c r="BC355" i="4" s="1"/>
  <c r="BD355" i="4"/>
  <c r="BF355" i="4"/>
  <c r="BI355" i="4"/>
  <c r="AE355" i="4" s="1"/>
  <c r="BJ355" i="4"/>
  <c r="I356" i="4"/>
  <c r="K356" i="4"/>
  <c r="Z356" i="4"/>
  <c r="AB356" i="4"/>
  <c r="AC356" i="4"/>
  <c r="AF356" i="4"/>
  <c r="AG356" i="4"/>
  <c r="AH356" i="4"/>
  <c r="AJ356" i="4"/>
  <c r="AK356" i="4"/>
  <c r="AL356" i="4"/>
  <c r="AO356" i="4"/>
  <c r="AW356" i="4" s="1"/>
  <c r="AP356" i="4"/>
  <c r="AX356" i="4" s="1"/>
  <c r="BD356" i="4"/>
  <c r="BF356" i="4"/>
  <c r="BI356" i="4"/>
  <c r="AE356" i="4" s="1"/>
  <c r="BJ356" i="4"/>
  <c r="I357" i="4"/>
  <c r="K357" i="4"/>
  <c r="Z357" i="4"/>
  <c r="AB357" i="4"/>
  <c r="AC357" i="4"/>
  <c r="AF357" i="4"/>
  <c r="AG357" i="4"/>
  <c r="AH357" i="4"/>
  <c r="AJ357" i="4"/>
  <c r="AK357" i="4"/>
  <c r="AL357" i="4"/>
  <c r="AO357" i="4"/>
  <c r="AP357" i="4"/>
  <c r="BI357" i="4" s="1"/>
  <c r="AE357" i="4" s="1"/>
  <c r="AW357" i="4"/>
  <c r="AX357" i="4"/>
  <c r="BC357" i="4" s="1"/>
  <c r="BD357" i="4"/>
  <c r="BF357" i="4"/>
  <c r="BH357" i="4"/>
  <c r="AD357" i="4" s="1"/>
  <c r="BJ357" i="4"/>
  <c r="I358" i="4"/>
  <c r="K358" i="4"/>
  <c r="AL358" i="4" s="1"/>
  <c r="Z358" i="4"/>
  <c r="AB358" i="4"/>
  <c r="AC358" i="4"/>
  <c r="AF358" i="4"/>
  <c r="AG358" i="4"/>
  <c r="AH358" i="4"/>
  <c r="AJ358" i="4"/>
  <c r="AK358" i="4"/>
  <c r="AO358" i="4"/>
  <c r="AW358" i="4" s="1"/>
  <c r="AP358" i="4"/>
  <c r="AX358" i="4"/>
  <c r="BD358" i="4"/>
  <c r="BF358" i="4"/>
  <c r="BI358" i="4"/>
  <c r="AE358" i="4" s="1"/>
  <c r="BJ358" i="4"/>
  <c r="I359" i="4"/>
  <c r="K359" i="4"/>
  <c r="AL359" i="4" s="1"/>
  <c r="Z359" i="4"/>
  <c r="AB359" i="4"/>
  <c r="AC359" i="4"/>
  <c r="AF359" i="4"/>
  <c r="AG359" i="4"/>
  <c r="AH359" i="4"/>
  <c r="AJ359" i="4"/>
  <c r="AK359" i="4"/>
  <c r="AO359" i="4"/>
  <c r="AW359" i="4" s="1"/>
  <c r="AP359" i="4"/>
  <c r="AX359" i="4" s="1"/>
  <c r="BD359" i="4"/>
  <c r="BF359" i="4"/>
  <c r="BH359" i="4"/>
  <c r="AD359" i="4" s="1"/>
  <c r="BJ359" i="4"/>
  <c r="I360" i="4"/>
  <c r="K360" i="4"/>
  <c r="Z360" i="4"/>
  <c r="AB360" i="4"/>
  <c r="AC360" i="4"/>
  <c r="AF360" i="4"/>
  <c r="AG360" i="4"/>
  <c r="AH360" i="4"/>
  <c r="AJ360" i="4"/>
  <c r="AK360" i="4"/>
  <c r="AL360" i="4"/>
  <c r="AO360" i="4"/>
  <c r="AP360" i="4"/>
  <c r="BI360" i="4" s="1"/>
  <c r="AE360" i="4" s="1"/>
  <c r="AW360" i="4"/>
  <c r="AX360" i="4"/>
  <c r="BC360" i="4" s="1"/>
  <c r="BD360" i="4"/>
  <c r="BF360" i="4"/>
  <c r="BH360" i="4"/>
  <c r="AD360" i="4" s="1"/>
  <c r="BJ360" i="4"/>
  <c r="I361" i="4"/>
  <c r="K361" i="4"/>
  <c r="AL361" i="4" s="1"/>
  <c r="Z361" i="4"/>
  <c r="AB361" i="4"/>
  <c r="AC361" i="4"/>
  <c r="AF361" i="4"/>
  <c r="AG361" i="4"/>
  <c r="AH361" i="4"/>
  <c r="AJ361" i="4"/>
  <c r="AK361" i="4"/>
  <c r="AO361" i="4"/>
  <c r="AP361" i="4"/>
  <c r="AW361" i="4"/>
  <c r="AX361" i="4"/>
  <c r="BD361" i="4"/>
  <c r="BF361" i="4"/>
  <c r="BH361" i="4"/>
  <c r="AD361" i="4" s="1"/>
  <c r="BI361" i="4"/>
  <c r="AE361" i="4" s="1"/>
  <c r="BJ361" i="4"/>
  <c r="I362" i="4"/>
  <c r="K362" i="4"/>
  <c r="AL362" i="4" s="1"/>
  <c r="Z362" i="4"/>
  <c r="AB362" i="4"/>
  <c r="AC362" i="4"/>
  <c r="AF362" i="4"/>
  <c r="AG362" i="4"/>
  <c r="AH362" i="4"/>
  <c r="AJ362" i="4"/>
  <c r="AK362" i="4"/>
  <c r="AO362" i="4"/>
  <c r="AP362" i="4"/>
  <c r="AW362" i="4"/>
  <c r="AV362" i="4" s="1"/>
  <c r="AX362" i="4"/>
  <c r="BD362" i="4"/>
  <c r="BF362" i="4"/>
  <c r="BH362" i="4"/>
  <c r="AD362" i="4" s="1"/>
  <c r="BI362" i="4"/>
  <c r="AE362" i="4" s="1"/>
  <c r="BJ362" i="4"/>
  <c r="I363" i="4"/>
  <c r="K363" i="4"/>
  <c r="AL363" i="4" s="1"/>
  <c r="Z363" i="4"/>
  <c r="AB363" i="4"/>
  <c r="AC363" i="4"/>
  <c r="AF363" i="4"/>
  <c r="AG363" i="4"/>
  <c r="AH363" i="4"/>
  <c r="AJ363" i="4"/>
  <c r="AK363" i="4"/>
  <c r="AO363" i="4"/>
  <c r="AW363" i="4" s="1"/>
  <c r="AP363" i="4"/>
  <c r="AX363" i="4"/>
  <c r="BD363" i="4"/>
  <c r="BF363" i="4"/>
  <c r="BI363" i="4"/>
  <c r="AE363" i="4" s="1"/>
  <c r="BJ363" i="4"/>
  <c r="I364" i="4"/>
  <c r="K364" i="4"/>
  <c r="AL364" i="4" s="1"/>
  <c r="Z364" i="4"/>
  <c r="AB364" i="4"/>
  <c r="AC364" i="4"/>
  <c r="AF364" i="4"/>
  <c r="AG364" i="4"/>
  <c r="AH364" i="4"/>
  <c r="AJ364" i="4"/>
  <c r="AK364" i="4"/>
  <c r="AO364" i="4"/>
  <c r="AW364" i="4" s="1"/>
  <c r="AV364" i="4" s="1"/>
  <c r="AP364" i="4"/>
  <c r="AX364" i="4"/>
  <c r="BD364" i="4"/>
  <c r="BF364" i="4"/>
  <c r="BH364" i="4"/>
  <c r="AD364" i="4" s="1"/>
  <c r="BI364" i="4"/>
  <c r="AE364" i="4" s="1"/>
  <c r="BJ364" i="4"/>
  <c r="I365" i="4"/>
  <c r="K365" i="4"/>
  <c r="Z365" i="4"/>
  <c r="AB365" i="4"/>
  <c r="AC365" i="4"/>
  <c r="AF365" i="4"/>
  <c r="AG365" i="4"/>
  <c r="AH365" i="4"/>
  <c r="AJ365" i="4"/>
  <c r="AK365" i="4"/>
  <c r="AL365" i="4"/>
  <c r="AO365" i="4"/>
  <c r="AP365" i="4"/>
  <c r="BI365" i="4" s="1"/>
  <c r="AE365" i="4" s="1"/>
  <c r="AW365" i="4"/>
  <c r="AX365" i="4"/>
  <c r="BC365" i="4" s="1"/>
  <c r="BD365" i="4"/>
  <c r="BF365" i="4"/>
  <c r="BH365" i="4"/>
  <c r="AD365" i="4" s="1"/>
  <c r="BJ365" i="4"/>
  <c r="I366" i="4"/>
  <c r="K366" i="4"/>
  <c r="Z366" i="4"/>
  <c r="AB366" i="4"/>
  <c r="AC366" i="4"/>
  <c r="AF366" i="4"/>
  <c r="AG366" i="4"/>
  <c r="AH366" i="4"/>
  <c r="AJ366" i="4"/>
  <c r="AK366" i="4"/>
  <c r="AL366" i="4"/>
  <c r="AO366" i="4"/>
  <c r="AW366" i="4" s="1"/>
  <c r="AP366" i="4"/>
  <c r="AX366" i="4" s="1"/>
  <c r="BD366" i="4"/>
  <c r="BF366" i="4"/>
  <c r="BH366" i="4"/>
  <c r="AD366" i="4" s="1"/>
  <c r="BI366" i="4"/>
  <c r="AE366" i="4" s="1"/>
  <c r="BJ366" i="4"/>
  <c r="I367" i="4"/>
  <c r="K367" i="4"/>
  <c r="AL367" i="4" s="1"/>
  <c r="Z367" i="4"/>
  <c r="AB367" i="4"/>
  <c r="AC367" i="4"/>
  <c r="AF367" i="4"/>
  <c r="AG367" i="4"/>
  <c r="AH367" i="4"/>
  <c r="AJ367" i="4"/>
  <c r="AK367" i="4"/>
  <c r="AO367" i="4"/>
  <c r="BH367" i="4" s="1"/>
  <c r="AD367" i="4" s="1"/>
  <c r="AP367" i="4"/>
  <c r="AW367" i="4"/>
  <c r="AX367" i="4"/>
  <c r="BC367" i="4"/>
  <c r="BD367" i="4"/>
  <c r="BF367" i="4"/>
  <c r="BI367" i="4"/>
  <c r="AE367" i="4" s="1"/>
  <c r="BJ367" i="4"/>
  <c r="I368" i="4"/>
  <c r="K368" i="4"/>
  <c r="Z368" i="4"/>
  <c r="AB368" i="4"/>
  <c r="AC368" i="4"/>
  <c r="AF368" i="4"/>
  <c r="AG368" i="4"/>
  <c r="AH368" i="4"/>
  <c r="AJ368" i="4"/>
  <c r="AK368" i="4"/>
  <c r="AL368" i="4"/>
  <c r="AO368" i="4"/>
  <c r="AP368" i="4"/>
  <c r="AX368" i="4" s="1"/>
  <c r="AW368" i="4"/>
  <c r="BD368" i="4"/>
  <c r="BF368" i="4"/>
  <c r="BH368" i="4"/>
  <c r="AD368" i="4" s="1"/>
  <c r="BJ368" i="4"/>
  <c r="I369" i="4"/>
  <c r="K369" i="4"/>
  <c r="AL369" i="4" s="1"/>
  <c r="Z369" i="4"/>
  <c r="AB369" i="4"/>
  <c r="AC369" i="4"/>
  <c r="AF369" i="4"/>
  <c r="AG369" i="4"/>
  <c r="AH369" i="4"/>
  <c r="AJ369" i="4"/>
  <c r="AK369" i="4"/>
  <c r="AO369" i="4"/>
  <c r="AW369" i="4" s="1"/>
  <c r="AP369" i="4"/>
  <c r="AX369" i="4" s="1"/>
  <c r="BD369" i="4"/>
  <c r="BF369" i="4"/>
  <c r="BH369" i="4"/>
  <c r="AD369" i="4" s="1"/>
  <c r="BI369" i="4"/>
  <c r="AE369" i="4" s="1"/>
  <c r="BJ369" i="4"/>
  <c r="I370" i="4"/>
  <c r="K370" i="4"/>
  <c r="Z370" i="4"/>
  <c r="AB370" i="4"/>
  <c r="AC370" i="4"/>
  <c r="AF370" i="4"/>
  <c r="AG370" i="4"/>
  <c r="AH370" i="4"/>
  <c r="AJ370" i="4"/>
  <c r="AK370" i="4"/>
  <c r="AL370" i="4"/>
  <c r="AO370" i="4"/>
  <c r="BH370" i="4" s="1"/>
  <c r="AD370" i="4" s="1"/>
  <c r="AP370" i="4"/>
  <c r="BI370" i="4" s="1"/>
  <c r="AE370" i="4" s="1"/>
  <c r="AW370" i="4"/>
  <c r="AX370" i="4"/>
  <c r="BC370" i="4" s="1"/>
  <c r="BD370" i="4"/>
  <c r="BF370" i="4"/>
  <c r="BJ370" i="4"/>
  <c r="I371" i="4"/>
  <c r="K371" i="4"/>
  <c r="AL371" i="4" s="1"/>
  <c r="Z371" i="4"/>
  <c r="AB371" i="4"/>
  <c r="AC371" i="4"/>
  <c r="AF371" i="4"/>
  <c r="AG371" i="4"/>
  <c r="AH371" i="4"/>
  <c r="AJ371" i="4"/>
  <c r="AK371" i="4"/>
  <c r="AO371" i="4"/>
  <c r="AW371" i="4" s="1"/>
  <c r="AP371" i="4"/>
  <c r="AX371" i="4" s="1"/>
  <c r="BD371" i="4"/>
  <c r="BF371" i="4"/>
  <c r="BI371" i="4"/>
  <c r="AE371" i="4" s="1"/>
  <c r="BJ371" i="4"/>
  <c r="I372" i="4"/>
  <c r="K372" i="4"/>
  <c r="AL372" i="4" s="1"/>
  <c r="Z372" i="4"/>
  <c r="AB372" i="4"/>
  <c r="AC372" i="4"/>
  <c r="AF372" i="4"/>
  <c r="AG372" i="4"/>
  <c r="AH372" i="4"/>
  <c r="AJ372" i="4"/>
  <c r="AK372" i="4"/>
  <c r="AO372" i="4"/>
  <c r="AP372" i="4"/>
  <c r="AW372" i="4"/>
  <c r="AX372" i="4"/>
  <c r="BD372" i="4"/>
  <c r="BF372" i="4"/>
  <c r="BH372" i="4"/>
  <c r="AD372" i="4" s="1"/>
  <c r="BI372" i="4"/>
  <c r="AE372" i="4" s="1"/>
  <c r="BJ372" i="4"/>
  <c r="I373" i="4"/>
  <c r="K373" i="4"/>
  <c r="AL373" i="4" s="1"/>
  <c r="Z373" i="4"/>
  <c r="AB373" i="4"/>
  <c r="AC373" i="4"/>
  <c r="AF373" i="4"/>
  <c r="AG373" i="4"/>
  <c r="AH373" i="4"/>
  <c r="AJ373" i="4"/>
  <c r="AK373" i="4"/>
  <c r="AO373" i="4"/>
  <c r="AW373" i="4" s="1"/>
  <c r="AP373" i="4"/>
  <c r="AX373" i="4" s="1"/>
  <c r="BD373" i="4"/>
  <c r="BF373" i="4"/>
  <c r="BJ373" i="4"/>
  <c r="I375" i="4"/>
  <c r="K375" i="4"/>
  <c r="Z375" i="4"/>
  <c r="AB375" i="4"/>
  <c r="AC375" i="4"/>
  <c r="AF375" i="4"/>
  <c r="AG375" i="4"/>
  <c r="AH375" i="4"/>
  <c r="AJ375" i="4"/>
  <c r="AK375" i="4"/>
  <c r="AL375" i="4"/>
  <c r="AO375" i="4"/>
  <c r="AP375" i="4"/>
  <c r="AW375" i="4"/>
  <c r="AX375" i="4"/>
  <c r="BC375" i="4" s="1"/>
  <c r="BD375" i="4"/>
  <c r="BF375" i="4"/>
  <c r="BH375" i="4"/>
  <c r="AD375" i="4" s="1"/>
  <c r="BI375" i="4"/>
  <c r="AE375" i="4" s="1"/>
  <c r="BJ375" i="4"/>
  <c r="I380" i="4"/>
  <c r="K380" i="4"/>
  <c r="Z380" i="4"/>
  <c r="AB380" i="4"/>
  <c r="AC380" i="4"/>
  <c r="AF380" i="4"/>
  <c r="AG380" i="4"/>
  <c r="AH380" i="4"/>
  <c r="AJ380" i="4"/>
  <c r="AK380" i="4"/>
  <c r="AL380" i="4"/>
  <c r="AO380" i="4"/>
  <c r="AP380" i="4"/>
  <c r="AX380" i="4" s="1"/>
  <c r="BC380" i="4" s="1"/>
  <c r="AW380" i="4"/>
  <c r="BD380" i="4"/>
  <c r="BF380" i="4"/>
  <c r="BH380" i="4"/>
  <c r="AD380" i="4" s="1"/>
  <c r="BJ380" i="4"/>
  <c r="I382" i="4"/>
  <c r="K382" i="4"/>
  <c r="Z382" i="4"/>
  <c r="AB382" i="4"/>
  <c r="AC382" i="4"/>
  <c r="AF382" i="4"/>
  <c r="AG382" i="4"/>
  <c r="AH382" i="4"/>
  <c r="AJ382" i="4"/>
  <c r="AK382" i="4"/>
  <c r="AL382" i="4"/>
  <c r="AO382" i="4"/>
  <c r="AP382" i="4"/>
  <c r="AX382" i="4" s="1"/>
  <c r="BC382" i="4" s="1"/>
  <c r="AW382" i="4"/>
  <c r="BD382" i="4"/>
  <c r="BF382" i="4"/>
  <c r="BH382" i="4"/>
  <c r="AD382" i="4" s="1"/>
  <c r="BI382" i="4"/>
  <c r="AE382" i="4" s="1"/>
  <c r="BJ382" i="4"/>
  <c r="I385" i="4"/>
  <c r="K385" i="4"/>
  <c r="Z385" i="4"/>
  <c r="AB385" i="4"/>
  <c r="AC385" i="4"/>
  <c r="AF385" i="4"/>
  <c r="AG385" i="4"/>
  <c r="AH385" i="4"/>
  <c r="AJ385" i="4"/>
  <c r="AK385" i="4"/>
  <c r="AL385" i="4"/>
  <c r="AO385" i="4"/>
  <c r="AP385" i="4"/>
  <c r="AX385" i="4" s="1"/>
  <c r="BC385" i="4" s="1"/>
  <c r="AW385" i="4"/>
  <c r="BD385" i="4"/>
  <c r="BF385" i="4"/>
  <c r="BH385" i="4"/>
  <c r="AD385" i="4" s="1"/>
  <c r="BJ385" i="4"/>
  <c r="I389" i="4"/>
  <c r="K389" i="4"/>
  <c r="AL389" i="4" s="1"/>
  <c r="Z389" i="4"/>
  <c r="AB389" i="4"/>
  <c r="AC389" i="4"/>
  <c r="AF389" i="4"/>
  <c r="AG389" i="4"/>
  <c r="AH389" i="4"/>
  <c r="AJ389" i="4"/>
  <c r="AK389" i="4"/>
  <c r="AO389" i="4"/>
  <c r="AW389" i="4" s="1"/>
  <c r="AP389" i="4"/>
  <c r="AX389" i="4" s="1"/>
  <c r="BD389" i="4"/>
  <c r="BF389" i="4"/>
  <c r="BI389" i="4"/>
  <c r="AE389" i="4" s="1"/>
  <c r="BJ389" i="4"/>
  <c r="I392" i="4"/>
  <c r="K392" i="4"/>
  <c r="Z392" i="4"/>
  <c r="AB392" i="4"/>
  <c r="AC392" i="4"/>
  <c r="AF392" i="4"/>
  <c r="AG392" i="4"/>
  <c r="AH392" i="4"/>
  <c r="AJ392" i="4"/>
  <c r="AK392" i="4"/>
  <c r="AL392" i="4"/>
  <c r="AO392" i="4"/>
  <c r="AP392" i="4"/>
  <c r="AW392" i="4"/>
  <c r="AX392" i="4"/>
  <c r="BC392" i="4" s="1"/>
  <c r="BD392" i="4"/>
  <c r="BF392" i="4"/>
  <c r="BH392" i="4"/>
  <c r="AD392" i="4" s="1"/>
  <c r="BI392" i="4"/>
  <c r="AE392" i="4" s="1"/>
  <c r="BJ392" i="4"/>
  <c r="I395" i="4"/>
  <c r="K395" i="4"/>
  <c r="Z395" i="4"/>
  <c r="AB395" i="4"/>
  <c r="AC395" i="4"/>
  <c r="AF395" i="4"/>
  <c r="AG395" i="4"/>
  <c r="AH395" i="4"/>
  <c r="AJ395" i="4"/>
  <c r="AK395" i="4"/>
  <c r="AL395" i="4"/>
  <c r="AO395" i="4"/>
  <c r="AW395" i="4" s="1"/>
  <c r="AP395" i="4"/>
  <c r="AX395" i="4" s="1"/>
  <c r="BD395" i="4"/>
  <c r="BF395" i="4"/>
  <c r="BH395" i="4"/>
  <c r="AD395" i="4" s="1"/>
  <c r="BI395" i="4"/>
  <c r="AE395" i="4" s="1"/>
  <c r="BJ395" i="4"/>
  <c r="I399" i="4"/>
  <c r="K399" i="4"/>
  <c r="Z399" i="4"/>
  <c r="AB399" i="4"/>
  <c r="AC399" i="4"/>
  <c r="AF399" i="4"/>
  <c r="AG399" i="4"/>
  <c r="AH399" i="4"/>
  <c r="AJ399" i="4"/>
  <c r="AK399" i="4"/>
  <c r="AL399" i="4"/>
  <c r="AO399" i="4"/>
  <c r="AW399" i="4" s="1"/>
  <c r="AP399" i="4"/>
  <c r="AX399" i="4" s="1"/>
  <c r="BD399" i="4"/>
  <c r="BF399" i="4"/>
  <c r="BH399" i="4"/>
  <c r="AD399" i="4" s="1"/>
  <c r="BJ399" i="4"/>
  <c r="I403" i="4"/>
  <c r="K403" i="4"/>
  <c r="Z403" i="4"/>
  <c r="AB403" i="4"/>
  <c r="AC403" i="4"/>
  <c r="AF403" i="4"/>
  <c r="AG403" i="4"/>
  <c r="AH403" i="4"/>
  <c r="AJ403" i="4"/>
  <c r="AK403" i="4"/>
  <c r="AL403" i="4"/>
  <c r="AO403" i="4"/>
  <c r="AW403" i="4" s="1"/>
  <c r="AP403" i="4"/>
  <c r="AX403" i="4" s="1"/>
  <c r="BD403" i="4"/>
  <c r="BF403" i="4"/>
  <c r="BH403" i="4"/>
  <c r="AD403" i="4" s="1"/>
  <c r="BI403" i="4"/>
  <c r="AE403" i="4" s="1"/>
  <c r="BJ403" i="4"/>
  <c r="I406" i="4"/>
  <c r="K406" i="4"/>
  <c r="AL406" i="4" s="1"/>
  <c r="Z406" i="4"/>
  <c r="AB406" i="4"/>
  <c r="AC406" i="4"/>
  <c r="AF406" i="4"/>
  <c r="AG406" i="4"/>
  <c r="AH406" i="4"/>
  <c r="AJ406" i="4"/>
  <c r="AK406" i="4"/>
  <c r="AO406" i="4"/>
  <c r="BH406" i="4" s="1"/>
  <c r="AD406" i="4" s="1"/>
  <c r="AP406" i="4"/>
  <c r="AX406" i="4" s="1"/>
  <c r="AW406" i="4"/>
  <c r="BD406" i="4"/>
  <c r="BF406" i="4"/>
  <c r="BJ406" i="4"/>
  <c r="I409" i="4"/>
  <c r="K409" i="4"/>
  <c r="Z409" i="4"/>
  <c r="AB409" i="4"/>
  <c r="AC409" i="4"/>
  <c r="AF409" i="4"/>
  <c r="AG409" i="4"/>
  <c r="AH409" i="4"/>
  <c r="AJ409" i="4"/>
  <c r="AK409" i="4"/>
  <c r="AL409" i="4"/>
  <c r="AO409" i="4"/>
  <c r="AW409" i="4" s="1"/>
  <c r="AP409" i="4"/>
  <c r="AX409" i="4" s="1"/>
  <c r="BD409" i="4"/>
  <c r="BF409" i="4"/>
  <c r="BH409" i="4"/>
  <c r="AD409" i="4" s="1"/>
  <c r="BJ409" i="4"/>
  <c r="I414" i="4"/>
  <c r="K414" i="4"/>
  <c r="AL414" i="4" s="1"/>
  <c r="Z414" i="4"/>
  <c r="AB414" i="4"/>
  <c r="AC414" i="4"/>
  <c r="AF414" i="4"/>
  <c r="AG414" i="4"/>
  <c r="AH414" i="4"/>
  <c r="AJ414" i="4"/>
  <c r="AK414" i="4"/>
  <c r="AO414" i="4"/>
  <c r="AW414" i="4" s="1"/>
  <c r="AP414" i="4"/>
  <c r="AX414" i="4"/>
  <c r="BD414" i="4"/>
  <c r="BF414" i="4"/>
  <c r="BI414" i="4"/>
  <c r="AE414" i="4" s="1"/>
  <c r="BJ414" i="4"/>
  <c r="I418" i="4"/>
  <c r="K418" i="4"/>
  <c r="AL418" i="4" s="1"/>
  <c r="Z418" i="4"/>
  <c r="AB418" i="4"/>
  <c r="AC418" i="4"/>
  <c r="AF418" i="4"/>
  <c r="AG418" i="4"/>
  <c r="AH418" i="4"/>
  <c r="AJ418" i="4"/>
  <c r="AK418" i="4"/>
  <c r="AO418" i="4"/>
  <c r="AP418" i="4"/>
  <c r="AW418" i="4"/>
  <c r="AX418" i="4"/>
  <c r="BD418" i="4"/>
  <c r="BF418" i="4"/>
  <c r="BH418" i="4"/>
  <c r="AD418" i="4" s="1"/>
  <c r="BI418" i="4"/>
  <c r="AE418" i="4" s="1"/>
  <c r="BJ418" i="4"/>
  <c r="I428" i="4"/>
  <c r="K428" i="4"/>
  <c r="K427" i="4" s="1"/>
  <c r="Z428" i="4"/>
  <c r="AD428" i="4"/>
  <c r="AE428" i="4"/>
  <c r="AF428" i="4"/>
  <c r="AG428" i="4"/>
  <c r="AH428" i="4"/>
  <c r="AJ428" i="4"/>
  <c r="AS427" i="4" s="1"/>
  <c r="AK428" i="4"/>
  <c r="AT427" i="4" s="1"/>
  <c r="AO428" i="4"/>
  <c r="AP428" i="4"/>
  <c r="BI428" i="4" s="1"/>
  <c r="AC428" i="4" s="1"/>
  <c r="AW428" i="4"/>
  <c r="AX428" i="4"/>
  <c r="BD428" i="4"/>
  <c r="BF428" i="4"/>
  <c r="BH428" i="4"/>
  <c r="AB428" i="4" s="1"/>
  <c r="BJ428" i="4"/>
  <c r="I430" i="4"/>
  <c r="K430" i="4"/>
  <c r="AL430" i="4" s="1"/>
  <c r="Z430" i="4"/>
  <c r="AD430" i="4"/>
  <c r="AE430" i="4"/>
  <c r="AF430" i="4"/>
  <c r="AG430" i="4"/>
  <c r="AH430" i="4"/>
  <c r="AJ430" i="4"/>
  <c r="AK430" i="4"/>
  <c r="AO430" i="4"/>
  <c r="AP430" i="4"/>
  <c r="AW430" i="4"/>
  <c r="AX430" i="4"/>
  <c r="BD430" i="4"/>
  <c r="BF430" i="4"/>
  <c r="BH430" i="4"/>
  <c r="AB430" i="4" s="1"/>
  <c r="BI430" i="4"/>
  <c r="AC430" i="4" s="1"/>
  <c r="BJ430" i="4"/>
  <c r="I439" i="4"/>
  <c r="K439" i="4"/>
  <c r="Z439" i="4"/>
  <c r="AD439" i="4"/>
  <c r="AE439" i="4"/>
  <c r="AF439" i="4"/>
  <c r="AG439" i="4"/>
  <c r="AH439" i="4"/>
  <c r="AJ439" i="4"/>
  <c r="AK439" i="4"/>
  <c r="AL439" i="4"/>
  <c r="AO439" i="4"/>
  <c r="AP439" i="4"/>
  <c r="AX439" i="4" s="1"/>
  <c r="BC439" i="4" s="1"/>
  <c r="AW439" i="4"/>
  <c r="BD439" i="4"/>
  <c r="BF439" i="4"/>
  <c r="BH439" i="4"/>
  <c r="AB439" i="4" s="1"/>
  <c r="BJ439" i="4"/>
  <c r="I441" i="4"/>
  <c r="K441" i="4"/>
  <c r="Z441" i="4"/>
  <c r="AD441" i="4"/>
  <c r="AE441" i="4"/>
  <c r="AF441" i="4"/>
  <c r="AG441" i="4"/>
  <c r="AH441" i="4"/>
  <c r="AJ441" i="4"/>
  <c r="AK441" i="4"/>
  <c r="AL441" i="4"/>
  <c r="AO441" i="4"/>
  <c r="AP441" i="4"/>
  <c r="AW441" i="4"/>
  <c r="AX441" i="4"/>
  <c r="BC441" i="4" s="1"/>
  <c r="BD441" i="4"/>
  <c r="BF441" i="4"/>
  <c r="BH441" i="4"/>
  <c r="AB441" i="4" s="1"/>
  <c r="BI441" i="4"/>
  <c r="AC441" i="4" s="1"/>
  <c r="BJ441" i="4"/>
  <c r="I443" i="4"/>
  <c r="K443" i="4"/>
  <c r="Z443" i="4"/>
  <c r="AD443" i="4"/>
  <c r="AE443" i="4"/>
  <c r="AF443" i="4"/>
  <c r="AG443" i="4"/>
  <c r="AH443" i="4"/>
  <c r="AJ443" i="4"/>
  <c r="AK443" i="4"/>
  <c r="AL443" i="4"/>
  <c r="AO443" i="4"/>
  <c r="AP443" i="4"/>
  <c r="AX443" i="4" s="1"/>
  <c r="BC443" i="4" s="1"/>
  <c r="AW443" i="4"/>
  <c r="BD443" i="4"/>
  <c r="BF443" i="4"/>
  <c r="BH443" i="4"/>
  <c r="AB443" i="4" s="1"/>
  <c r="BJ443" i="4"/>
  <c r="I445" i="4"/>
  <c r="K445" i="4"/>
  <c r="AL445" i="4" s="1"/>
  <c r="Z445" i="4"/>
  <c r="AD445" i="4"/>
  <c r="AE445" i="4"/>
  <c r="AF445" i="4"/>
  <c r="AG445" i="4"/>
  <c r="AH445" i="4"/>
  <c r="AJ445" i="4"/>
  <c r="AK445" i="4"/>
  <c r="AO445" i="4"/>
  <c r="BH445" i="4" s="1"/>
  <c r="AB445" i="4" s="1"/>
  <c r="AP445" i="4"/>
  <c r="AX445" i="4" s="1"/>
  <c r="AW445" i="4"/>
  <c r="BD445" i="4"/>
  <c r="BF445" i="4"/>
  <c r="BI445" i="4"/>
  <c r="AC445" i="4" s="1"/>
  <c r="BJ445" i="4"/>
  <c r="I454" i="4"/>
  <c r="K454" i="4"/>
  <c r="Z454" i="4"/>
  <c r="AD454" i="4"/>
  <c r="AE454" i="4"/>
  <c r="AF454" i="4"/>
  <c r="AG454" i="4"/>
  <c r="AH454" i="4"/>
  <c r="AJ454" i="4"/>
  <c r="AK454" i="4"/>
  <c r="AO454" i="4"/>
  <c r="AP454" i="4"/>
  <c r="AW454" i="4"/>
  <c r="AV454" i="4" s="1"/>
  <c r="AX454" i="4"/>
  <c r="BD454" i="4"/>
  <c r="BF454" i="4"/>
  <c r="BH454" i="4"/>
  <c r="AB454" i="4" s="1"/>
  <c r="BI454" i="4"/>
  <c r="AC454" i="4" s="1"/>
  <c r="BJ454" i="4"/>
  <c r="I464" i="4"/>
  <c r="K464" i="4"/>
  <c r="AL464" i="4" s="1"/>
  <c r="Z464" i="4"/>
  <c r="AD464" i="4"/>
  <c r="AE464" i="4"/>
  <c r="AF464" i="4"/>
  <c r="AG464" i="4"/>
  <c r="AH464" i="4"/>
  <c r="AJ464" i="4"/>
  <c r="AK464" i="4"/>
  <c r="AO464" i="4"/>
  <c r="AP464" i="4"/>
  <c r="AW464" i="4"/>
  <c r="AX464" i="4"/>
  <c r="BD464" i="4"/>
  <c r="BF464" i="4"/>
  <c r="BH464" i="4"/>
  <c r="AB464" i="4" s="1"/>
  <c r="BI464" i="4"/>
  <c r="AC464" i="4" s="1"/>
  <c r="BJ464" i="4"/>
  <c r="I466" i="4"/>
  <c r="K466" i="4"/>
  <c r="AL466" i="4" s="1"/>
  <c r="Z466" i="4"/>
  <c r="AD466" i="4"/>
  <c r="AE466" i="4"/>
  <c r="AF466" i="4"/>
  <c r="AG466" i="4"/>
  <c r="AH466" i="4"/>
  <c r="AJ466" i="4"/>
  <c r="AK466" i="4"/>
  <c r="AO466" i="4"/>
  <c r="AP466" i="4"/>
  <c r="AX466" i="4" s="1"/>
  <c r="AW466" i="4"/>
  <c r="BD466" i="4"/>
  <c r="BF466" i="4"/>
  <c r="BH466" i="4"/>
  <c r="AB466" i="4" s="1"/>
  <c r="BI466" i="4"/>
  <c r="AC466" i="4" s="1"/>
  <c r="BJ466" i="4"/>
  <c r="I468" i="4"/>
  <c r="K468" i="4"/>
  <c r="AL468" i="4" s="1"/>
  <c r="Z468" i="4"/>
  <c r="AD468" i="4"/>
  <c r="AE468" i="4"/>
  <c r="AF468" i="4"/>
  <c r="AG468" i="4"/>
  <c r="AH468" i="4"/>
  <c r="AJ468" i="4"/>
  <c r="AK468" i="4"/>
  <c r="AO468" i="4"/>
  <c r="AW468" i="4" s="1"/>
  <c r="AP468" i="4"/>
  <c r="AX468" i="4" s="1"/>
  <c r="BD468" i="4"/>
  <c r="BF468" i="4"/>
  <c r="BH468" i="4"/>
  <c r="AB468" i="4" s="1"/>
  <c r="BI468" i="4"/>
  <c r="AC468" i="4" s="1"/>
  <c r="BJ468" i="4"/>
  <c r="I478" i="4"/>
  <c r="K478" i="4"/>
  <c r="Z478" i="4"/>
  <c r="AD478" i="4"/>
  <c r="AE478" i="4"/>
  <c r="AF478" i="4"/>
  <c r="AG478" i="4"/>
  <c r="AH478" i="4"/>
  <c r="AJ478" i="4"/>
  <c r="AK478" i="4"/>
  <c r="AL478" i="4"/>
  <c r="AO478" i="4"/>
  <c r="AW478" i="4" s="1"/>
  <c r="AP478" i="4"/>
  <c r="AX478" i="4" s="1"/>
  <c r="BD478" i="4"/>
  <c r="BF478" i="4"/>
  <c r="BH478" i="4"/>
  <c r="AB478" i="4" s="1"/>
  <c r="BJ478" i="4"/>
  <c r="I480" i="4"/>
  <c r="K480" i="4"/>
  <c r="AL480" i="4" s="1"/>
  <c r="Z480" i="4"/>
  <c r="AD480" i="4"/>
  <c r="AE480" i="4"/>
  <c r="AF480" i="4"/>
  <c r="AG480" i="4"/>
  <c r="AH480" i="4"/>
  <c r="AJ480" i="4"/>
  <c r="AK480" i="4"/>
  <c r="AO480" i="4"/>
  <c r="AP480" i="4"/>
  <c r="AX480" i="4" s="1"/>
  <c r="AW480" i="4"/>
  <c r="BD480" i="4"/>
  <c r="BF480" i="4"/>
  <c r="BH480" i="4"/>
  <c r="AB480" i="4" s="1"/>
  <c r="BJ480" i="4"/>
  <c r="I483" i="4"/>
  <c r="K483" i="4"/>
  <c r="AL483" i="4" s="1"/>
  <c r="Z483" i="4"/>
  <c r="AD483" i="4"/>
  <c r="AE483" i="4"/>
  <c r="AF483" i="4"/>
  <c r="AG483" i="4"/>
  <c r="AH483" i="4"/>
  <c r="AJ483" i="4"/>
  <c r="AK483" i="4"/>
  <c r="AO483" i="4"/>
  <c r="AP483" i="4"/>
  <c r="AW483" i="4"/>
  <c r="AX483" i="4"/>
  <c r="BD483" i="4"/>
  <c r="BF483" i="4"/>
  <c r="BH483" i="4"/>
  <c r="AB483" i="4" s="1"/>
  <c r="BI483" i="4"/>
  <c r="AC483" i="4" s="1"/>
  <c r="BJ483" i="4"/>
  <c r="I486" i="4"/>
  <c r="K486" i="4"/>
  <c r="AL486" i="4" s="1"/>
  <c r="Z486" i="4"/>
  <c r="AD486" i="4"/>
  <c r="AE486" i="4"/>
  <c r="AF486" i="4"/>
  <c r="AG486" i="4"/>
  <c r="AH486" i="4"/>
  <c r="AJ486" i="4"/>
  <c r="AK486" i="4"/>
  <c r="AO486" i="4"/>
  <c r="AP486" i="4"/>
  <c r="BI486" i="4" s="1"/>
  <c r="AC486" i="4" s="1"/>
  <c r="AW486" i="4"/>
  <c r="AX486" i="4"/>
  <c r="BD486" i="4"/>
  <c r="BF486" i="4"/>
  <c r="BH486" i="4"/>
  <c r="AB486" i="4" s="1"/>
  <c r="BJ486" i="4"/>
  <c r="I490" i="4"/>
  <c r="K490" i="4"/>
  <c r="AB490" i="4"/>
  <c r="AC490" i="4"/>
  <c r="AD490" i="4"/>
  <c r="AE490" i="4"/>
  <c r="AF490" i="4"/>
  <c r="AG490" i="4"/>
  <c r="AH490" i="4"/>
  <c r="AJ490" i="4"/>
  <c r="AK490" i="4"/>
  <c r="AL490" i="4"/>
  <c r="AO490" i="4"/>
  <c r="BH490" i="4" s="1"/>
  <c r="AP490" i="4"/>
  <c r="AX490" i="4" s="1"/>
  <c r="AW490" i="4"/>
  <c r="BD490" i="4"/>
  <c r="BF490" i="4"/>
  <c r="BJ490" i="4"/>
  <c r="Z490" i="4" s="1"/>
  <c r="I491" i="4"/>
  <c r="K491" i="4"/>
  <c r="AB491" i="4"/>
  <c r="AC491" i="4"/>
  <c r="AD491" i="4"/>
  <c r="AE491" i="4"/>
  <c r="AF491" i="4"/>
  <c r="AG491" i="4"/>
  <c r="AH491" i="4"/>
  <c r="AJ491" i="4"/>
  <c r="AK491" i="4"/>
  <c r="AL491" i="4"/>
  <c r="AO491" i="4"/>
  <c r="BH491" i="4" s="1"/>
  <c r="AP491" i="4"/>
  <c r="AX491" i="4" s="1"/>
  <c r="AW491" i="4"/>
  <c r="BD491" i="4"/>
  <c r="BF491" i="4"/>
  <c r="BI491" i="4"/>
  <c r="BJ491" i="4"/>
  <c r="Z491" i="4" s="1"/>
  <c r="I492" i="4"/>
  <c r="K492" i="4"/>
  <c r="AB492" i="4"/>
  <c r="AC492" i="4"/>
  <c r="AD492" i="4"/>
  <c r="AE492" i="4"/>
  <c r="AF492" i="4"/>
  <c r="AG492" i="4"/>
  <c r="AH492" i="4"/>
  <c r="AJ492" i="4"/>
  <c r="AK492" i="4"/>
  <c r="AL492" i="4"/>
  <c r="AO492" i="4"/>
  <c r="BH492" i="4" s="1"/>
  <c r="AP492" i="4"/>
  <c r="AX492" i="4" s="1"/>
  <c r="AW492" i="4"/>
  <c r="BD492" i="4"/>
  <c r="BF492" i="4"/>
  <c r="BI492" i="4"/>
  <c r="BJ492" i="4"/>
  <c r="Z492" i="4" s="1"/>
  <c r="I493" i="4"/>
  <c r="K493" i="4"/>
  <c r="AB493" i="4"/>
  <c r="AC493" i="4"/>
  <c r="AD493" i="4"/>
  <c r="AE493" i="4"/>
  <c r="AF493" i="4"/>
  <c r="AG493" i="4"/>
  <c r="AH493" i="4"/>
  <c r="AJ493" i="4"/>
  <c r="AK493" i="4"/>
  <c r="AL493" i="4"/>
  <c r="AO493" i="4"/>
  <c r="BH493" i="4" s="1"/>
  <c r="AP493" i="4"/>
  <c r="AX493" i="4" s="1"/>
  <c r="AW493" i="4"/>
  <c r="BD493" i="4"/>
  <c r="BF493" i="4"/>
  <c r="BI493" i="4"/>
  <c r="BJ493" i="4"/>
  <c r="Z493" i="4" s="1"/>
  <c r="I494" i="4"/>
  <c r="K494" i="4"/>
  <c r="AB494" i="4"/>
  <c r="AC494" i="4"/>
  <c r="AD494" i="4"/>
  <c r="AE494" i="4"/>
  <c r="AF494" i="4"/>
  <c r="AG494" i="4"/>
  <c r="AH494" i="4"/>
  <c r="AJ494" i="4"/>
  <c r="AK494" i="4"/>
  <c r="AL494" i="4"/>
  <c r="AO494" i="4"/>
  <c r="BH494" i="4" s="1"/>
  <c r="AP494" i="4"/>
  <c r="AX494" i="4" s="1"/>
  <c r="AW494" i="4"/>
  <c r="AV494" i="4" s="1"/>
  <c r="BD494" i="4"/>
  <c r="BF494" i="4"/>
  <c r="BI494" i="4"/>
  <c r="BJ494" i="4"/>
  <c r="Z494" i="4" s="1"/>
  <c r="I495" i="4"/>
  <c r="K495" i="4"/>
  <c r="AL495" i="4" s="1"/>
  <c r="Z495" i="4"/>
  <c r="AD495" i="4"/>
  <c r="AE495" i="4"/>
  <c r="AF495" i="4"/>
  <c r="AG495" i="4"/>
  <c r="AH495" i="4"/>
  <c r="AJ495" i="4"/>
  <c r="AK495" i="4"/>
  <c r="AO495" i="4"/>
  <c r="AP495" i="4"/>
  <c r="AW495" i="4"/>
  <c r="AX495" i="4"/>
  <c r="BD495" i="4"/>
  <c r="BF495" i="4"/>
  <c r="BH495" i="4"/>
  <c r="AB495" i="4" s="1"/>
  <c r="BI495" i="4"/>
  <c r="AC495" i="4" s="1"/>
  <c r="BJ495" i="4"/>
  <c r="I498" i="4"/>
  <c r="K498" i="4"/>
  <c r="Z498" i="4"/>
  <c r="AD498" i="4"/>
  <c r="AE498" i="4"/>
  <c r="AF498" i="4"/>
  <c r="AG498" i="4"/>
  <c r="AH498" i="4"/>
  <c r="AJ498" i="4"/>
  <c r="AK498" i="4"/>
  <c r="AL498" i="4"/>
  <c r="AO498" i="4"/>
  <c r="AP498" i="4"/>
  <c r="AX498" i="4" s="1"/>
  <c r="BC498" i="4" s="1"/>
  <c r="AW498" i="4"/>
  <c r="BD498" i="4"/>
  <c r="BF498" i="4"/>
  <c r="BH498" i="4"/>
  <c r="AB498" i="4" s="1"/>
  <c r="BJ498" i="4"/>
  <c r="I501" i="4"/>
  <c r="K501" i="4"/>
  <c r="AL501" i="4" s="1"/>
  <c r="Z501" i="4"/>
  <c r="AD501" i="4"/>
  <c r="AE501" i="4"/>
  <c r="AF501" i="4"/>
  <c r="AG501" i="4"/>
  <c r="AH501" i="4"/>
  <c r="AJ501" i="4"/>
  <c r="AK501" i="4"/>
  <c r="AO501" i="4"/>
  <c r="AW501" i="4" s="1"/>
  <c r="AP501" i="4"/>
  <c r="AX501" i="4" s="1"/>
  <c r="BD501" i="4"/>
  <c r="BF501" i="4"/>
  <c r="BH501" i="4"/>
  <c r="AB501" i="4" s="1"/>
  <c r="BJ501" i="4"/>
  <c r="I502" i="4"/>
  <c r="K502" i="4"/>
  <c r="Z502" i="4"/>
  <c r="AD502" i="4"/>
  <c r="AE502" i="4"/>
  <c r="AF502" i="4"/>
  <c r="AG502" i="4"/>
  <c r="AH502" i="4"/>
  <c r="AJ502" i="4"/>
  <c r="AK502" i="4"/>
  <c r="AL502" i="4"/>
  <c r="AO502" i="4"/>
  <c r="BH502" i="4" s="1"/>
  <c r="AB502" i="4" s="1"/>
  <c r="AP502" i="4"/>
  <c r="AX502" i="4" s="1"/>
  <c r="AW502" i="4"/>
  <c r="BD502" i="4"/>
  <c r="BF502" i="4"/>
  <c r="BI502" i="4"/>
  <c r="AC502" i="4" s="1"/>
  <c r="BJ502" i="4"/>
  <c r="I504" i="4"/>
  <c r="K504" i="4"/>
  <c r="K503" i="4" s="1"/>
  <c r="Z504" i="4"/>
  <c r="AD504" i="4"/>
  <c r="AE504" i="4"/>
  <c r="AF504" i="4"/>
  <c r="AG504" i="4"/>
  <c r="AH504" i="4"/>
  <c r="AJ504" i="4"/>
  <c r="AS503" i="4" s="1"/>
  <c r="AK504" i="4"/>
  <c r="AT503" i="4" s="1"/>
  <c r="AL504" i="4"/>
  <c r="AU503" i="4" s="1"/>
  <c r="AO504" i="4"/>
  <c r="AW504" i="4" s="1"/>
  <c r="AP504" i="4"/>
  <c r="AX504" i="4" s="1"/>
  <c r="BD504" i="4"/>
  <c r="BF504" i="4"/>
  <c r="BH504" i="4"/>
  <c r="AB504" i="4" s="1"/>
  <c r="BJ504" i="4"/>
  <c r="I506" i="4"/>
  <c r="K506" i="4"/>
  <c r="AL506" i="4" s="1"/>
  <c r="Z506" i="4"/>
  <c r="AD506" i="4"/>
  <c r="AE506" i="4"/>
  <c r="AF506" i="4"/>
  <c r="AG506" i="4"/>
  <c r="AH506" i="4"/>
  <c r="AJ506" i="4"/>
  <c r="AK506" i="4"/>
  <c r="AO506" i="4"/>
  <c r="BH506" i="4" s="1"/>
  <c r="AB506" i="4" s="1"/>
  <c r="AP506" i="4"/>
  <c r="AX506" i="4" s="1"/>
  <c r="AW506" i="4"/>
  <c r="BD506" i="4"/>
  <c r="BF506" i="4"/>
  <c r="BI506" i="4"/>
  <c r="AC506" i="4" s="1"/>
  <c r="BJ506" i="4"/>
  <c r="I507" i="4"/>
  <c r="K507" i="4"/>
  <c r="Z507" i="4"/>
  <c r="AD507" i="4"/>
  <c r="AE507" i="4"/>
  <c r="AF507" i="4"/>
  <c r="AG507" i="4"/>
  <c r="AH507" i="4"/>
  <c r="AJ507" i="4"/>
  <c r="AK507" i="4"/>
  <c r="AL507" i="4"/>
  <c r="AO507" i="4"/>
  <c r="AP507" i="4"/>
  <c r="AW507" i="4"/>
  <c r="AX507" i="4"/>
  <c r="BC507" i="4" s="1"/>
  <c r="BD507" i="4"/>
  <c r="BF507" i="4"/>
  <c r="BH507" i="4"/>
  <c r="AB507" i="4" s="1"/>
  <c r="BI507" i="4"/>
  <c r="AC507" i="4" s="1"/>
  <c r="BJ507" i="4"/>
  <c r="I508" i="4"/>
  <c r="K508" i="4"/>
  <c r="Z508" i="4"/>
  <c r="AD508" i="4"/>
  <c r="AE508" i="4"/>
  <c r="AF508" i="4"/>
  <c r="AG508" i="4"/>
  <c r="AH508" i="4"/>
  <c r="AJ508" i="4"/>
  <c r="AK508" i="4"/>
  <c r="AL508" i="4"/>
  <c r="AO508" i="4"/>
  <c r="AP508" i="4"/>
  <c r="BI508" i="4" s="1"/>
  <c r="AC508" i="4" s="1"/>
  <c r="AW508" i="4"/>
  <c r="BD508" i="4"/>
  <c r="BF508" i="4"/>
  <c r="BH508" i="4"/>
  <c r="AB508" i="4" s="1"/>
  <c r="BJ508" i="4"/>
  <c r="I509" i="4"/>
  <c r="K509" i="4"/>
  <c r="AL509" i="4" s="1"/>
  <c r="Z509" i="4"/>
  <c r="AD509" i="4"/>
  <c r="AE509" i="4"/>
  <c r="AF509" i="4"/>
  <c r="AG509" i="4"/>
  <c r="AH509" i="4"/>
  <c r="AJ509" i="4"/>
  <c r="AK509" i="4"/>
  <c r="AO509" i="4"/>
  <c r="AP509" i="4"/>
  <c r="AW509" i="4"/>
  <c r="AX509" i="4"/>
  <c r="BD509" i="4"/>
  <c r="BF509" i="4"/>
  <c r="BH509" i="4"/>
  <c r="AB509" i="4" s="1"/>
  <c r="BI509" i="4"/>
  <c r="AC509" i="4" s="1"/>
  <c r="BJ509" i="4"/>
  <c r="I510" i="4"/>
  <c r="K510" i="4"/>
  <c r="AL510" i="4" s="1"/>
  <c r="Z510" i="4"/>
  <c r="AD510" i="4"/>
  <c r="AE510" i="4"/>
  <c r="AF510" i="4"/>
  <c r="AG510" i="4"/>
  <c r="AH510" i="4"/>
  <c r="AJ510" i="4"/>
  <c r="AK510" i="4"/>
  <c r="AO510" i="4"/>
  <c r="AW510" i="4" s="1"/>
  <c r="AP510" i="4"/>
  <c r="AX510" i="4" s="1"/>
  <c r="BD510" i="4"/>
  <c r="BF510" i="4"/>
  <c r="BH510" i="4"/>
  <c r="AB510" i="4" s="1"/>
  <c r="BJ510" i="4"/>
  <c r="I511" i="4"/>
  <c r="K511" i="4"/>
  <c r="Z511" i="4"/>
  <c r="AD511" i="4"/>
  <c r="AE511" i="4"/>
  <c r="AF511" i="4"/>
  <c r="AG511" i="4"/>
  <c r="AH511" i="4"/>
  <c r="AJ511" i="4"/>
  <c r="AK511" i="4"/>
  <c r="AL511" i="4"/>
  <c r="AO511" i="4"/>
  <c r="AP511" i="4"/>
  <c r="AW511" i="4"/>
  <c r="AX511" i="4"/>
  <c r="BC511" i="4" s="1"/>
  <c r="BD511" i="4"/>
  <c r="BF511" i="4"/>
  <c r="BH511" i="4"/>
  <c r="AB511" i="4" s="1"/>
  <c r="BI511" i="4"/>
  <c r="AC511" i="4" s="1"/>
  <c r="BJ511" i="4"/>
  <c r="C2" i="6"/>
  <c r="G2" i="6"/>
  <c r="J2" i="6"/>
  <c r="C4" i="6"/>
  <c r="G4" i="6"/>
  <c r="J4" i="6"/>
  <c r="C6" i="6"/>
  <c r="G6" i="6"/>
  <c r="J6" i="6"/>
  <c r="C8" i="6"/>
  <c r="G8" i="6"/>
  <c r="J8" i="6"/>
  <c r="I14" i="6"/>
  <c r="K14" i="6"/>
  <c r="K13" i="6" s="1"/>
  <c r="Z14" i="6"/>
  <c r="C21" i="5" s="1"/>
  <c r="AD14" i="6"/>
  <c r="C16" i="5" s="1"/>
  <c r="AE14" i="6"/>
  <c r="C17" i="5" s="1"/>
  <c r="AF14" i="6"/>
  <c r="C18" i="5" s="1"/>
  <c r="AG14" i="6"/>
  <c r="C19" i="5" s="1"/>
  <c r="AH14" i="6"/>
  <c r="C20" i="5" s="1"/>
  <c r="AJ14" i="6"/>
  <c r="C25" i="5" s="1"/>
  <c r="AK14" i="6"/>
  <c r="C26" i="5" s="1"/>
  <c r="F26" i="5" s="1"/>
  <c r="AO14" i="6"/>
  <c r="AW14" i="6" s="1"/>
  <c r="AP14" i="6"/>
  <c r="AX14" i="6" s="1"/>
  <c r="BD14" i="6"/>
  <c r="BF14" i="6"/>
  <c r="BH14" i="6"/>
  <c r="AB14" i="6" s="1"/>
  <c r="C14" i="5" s="1"/>
  <c r="BJ14" i="6"/>
  <c r="C2" i="8"/>
  <c r="F2" i="8"/>
  <c r="H2" i="8"/>
  <c r="C4" i="8"/>
  <c r="F4" i="8"/>
  <c r="H4" i="8"/>
  <c r="C6" i="8"/>
  <c r="F6" i="8"/>
  <c r="H6" i="8"/>
  <c r="C8" i="8"/>
  <c r="F8" i="8"/>
  <c r="H8" i="8"/>
  <c r="I14" i="8"/>
  <c r="K14" i="8"/>
  <c r="Z14" i="8"/>
  <c r="AD14" i="8"/>
  <c r="AE14" i="8"/>
  <c r="AF14" i="8"/>
  <c r="AG14" i="8"/>
  <c r="AH14" i="8"/>
  <c r="AJ14" i="8"/>
  <c r="AK14" i="8"/>
  <c r="AL14" i="8"/>
  <c r="AO14" i="8"/>
  <c r="AW14" i="8" s="1"/>
  <c r="AP14" i="8"/>
  <c r="AX14" i="8" s="1"/>
  <c r="BD14" i="8"/>
  <c r="BF14" i="8"/>
  <c r="BH14" i="8"/>
  <c r="AB14" i="8" s="1"/>
  <c r="BJ14" i="8"/>
  <c r="I16" i="8"/>
  <c r="K16" i="8"/>
  <c r="Z16" i="8"/>
  <c r="AD16" i="8"/>
  <c r="AE16" i="8"/>
  <c r="AF16" i="8"/>
  <c r="AG16" i="8"/>
  <c r="AH16" i="8"/>
  <c r="AJ16" i="8"/>
  <c r="AK16" i="8"/>
  <c r="AL16" i="8"/>
  <c r="AO16" i="8"/>
  <c r="AP16" i="8"/>
  <c r="BI16" i="8" s="1"/>
  <c r="AC16" i="8" s="1"/>
  <c r="AW16" i="8"/>
  <c r="AX16" i="8"/>
  <c r="BC16" i="8" s="1"/>
  <c r="BD16" i="8"/>
  <c r="BF16" i="8"/>
  <c r="BH16" i="8"/>
  <c r="AB16" i="8" s="1"/>
  <c r="BJ16" i="8"/>
  <c r="I20" i="8"/>
  <c r="K20" i="8"/>
  <c r="K19" i="8" s="1"/>
  <c r="Z20" i="8"/>
  <c r="AD20" i="8"/>
  <c r="AE20" i="8"/>
  <c r="AF20" i="8"/>
  <c r="AG20" i="8"/>
  <c r="AH20" i="8"/>
  <c r="AJ20" i="8"/>
  <c r="AS19" i="8" s="1"/>
  <c r="AK20" i="8"/>
  <c r="AT19" i="8" s="1"/>
  <c r="AL20" i="8"/>
  <c r="AU19" i="8" s="1"/>
  <c r="AO20" i="8"/>
  <c r="AP20" i="8"/>
  <c r="BI20" i="8" s="1"/>
  <c r="AC20" i="8" s="1"/>
  <c r="AW20" i="8"/>
  <c r="AX20" i="8"/>
  <c r="BC20" i="8" s="1"/>
  <c r="BD20" i="8"/>
  <c r="BF20" i="8"/>
  <c r="BH20" i="8"/>
  <c r="AB20" i="8" s="1"/>
  <c r="BJ20" i="8"/>
  <c r="I22" i="8"/>
  <c r="K22" i="8"/>
  <c r="K21" i="8" s="1"/>
  <c r="Z22" i="8"/>
  <c r="AD22" i="8"/>
  <c r="AE22" i="8"/>
  <c r="AF22" i="8"/>
  <c r="AG22" i="8"/>
  <c r="AH22" i="8"/>
  <c r="AJ22" i="8"/>
  <c r="AS21" i="8" s="1"/>
  <c r="AK22" i="8"/>
  <c r="AT21" i="8" s="1"/>
  <c r="AL22" i="8"/>
  <c r="AU21" i="8" s="1"/>
  <c r="AO22" i="8"/>
  <c r="BH22" i="8" s="1"/>
  <c r="AB22" i="8" s="1"/>
  <c r="AP22" i="8"/>
  <c r="AW22" i="8"/>
  <c r="AV22" i="8" s="1"/>
  <c r="AX22" i="8"/>
  <c r="BC22" i="8"/>
  <c r="BD22" i="8"/>
  <c r="BF22" i="8"/>
  <c r="BI22" i="8"/>
  <c r="AC22" i="8" s="1"/>
  <c r="BJ22" i="8"/>
  <c r="C2" i="10"/>
  <c r="F2" i="10"/>
  <c r="H2" i="10"/>
  <c r="C4" i="10"/>
  <c r="F4" i="10"/>
  <c r="H4" i="10"/>
  <c r="C6" i="10"/>
  <c r="F6" i="10"/>
  <c r="H6" i="10"/>
  <c r="C8" i="10"/>
  <c r="F8" i="10"/>
  <c r="H8" i="10"/>
  <c r="I14" i="10"/>
  <c r="K14" i="10"/>
  <c r="K13" i="10" s="1"/>
  <c r="Z14" i="10"/>
  <c r="AD14" i="10"/>
  <c r="AE14" i="10"/>
  <c r="AF14" i="10"/>
  <c r="AG14" i="10"/>
  <c r="AH14" i="10"/>
  <c r="AJ14" i="10"/>
  <c r="AS13" i="10" s="1"/>
  <c r="AK14" i="10"/>
  <c r="AL14" i="10"/>
  <c r="AU13" i="10" s="1"/>
  <c r="AO14" i="10"/>
  <c r="AP14" i="10"/>
  <c r="AW14" i="10"/>
  <c r="AV14" i="10" s="1"/>
  <c r="AX14" i="10"/>
  <c r="BD14" i="10"/>
  <c r="BF14" i="10"/>
  <c r="BH14" i="10"/>
  <c r="AB14" i="10" s="1"/>
  <c r="BI14" i="10"/>
  <c r="AC14" i="10" s="1"/>
  <c r="BJ14" i="10"/>
  <c r="I17" i="10"/>
  <c r="K17" i="10"/>
  <c r="K16" i="10" s="1"/>
  <c r="Z17" i="10"/>
  <c r="AD17" i="10"/>
  <c r="AE17" i="10"/>
  <c r="AF17" i="10"/>
  <c r="AG17" i="10"/>
  <c r="AH17" i="10"/>
  <c r="AJ17" i="10"/>
  <c r="AS16" i="10" s="1"/>
  <c r="AK17" i="10"/>
  <c r="AT16" i="10" s="1"/>
  <c r="AL17" i="10"/>
  <c r="AU16" i="10" s="1"/>
  <c r="AO17" i="10"/>
  <c r="AP17" i="10"/>
  <c r="AW17" i="10"/>
  <c r="AX17" i="10"/>
  <c r="BD17" i="10"/>
  <c r="BF17" i="10"/>
  <c r="BH17" i="10"/>
  <c r="AB17" i="10" s="1"/>
  <c r="BI17" i="10"/>
  <c r="AC17" i="10" s="1"/>
  <c r="BJ17" i="10"/>
  <c r="I19" i="10"/>
  <c r="K19" i="10"/>
  <c r="K18" i="10" s="1"/>
  <c r="Z19" i="10"/>
  <c r="AD19" i="10"/>
  <c r="AE19" i="10"/>
  <c r="AF19" i="10"/>
  <c r="AG19" i="10"/>
  <c r="AH19" i="10"/>
  <c r="AJ19" i="10"/>
  <c r="AS18" i="10" s="1"/>
  <c r="AK19" i="10"/>
  <c r="AT18" i="10" s="1"/>
  <c r="AL19" i="10"/>
  <c r="AU18" i="10" s="1"/>
  <c r="AO19" i="10"/>
  <c r="BH19" i="10" s="1"/>
  <c r="AB19" i="10" s="1"/>
  <c r="AP19" i="10"/>
  <c r="AW19" i="10"/>
  <c r="AX19" i="10"/>
  <c r="BC19" i="10" s="1"/>
  <c r="BD19" i="10"/>
  <c r="BF19" i="10"/>
  <c r="BI19" i="10"/>
  <c r="AC19" i="10" s="1"/>
  <c r="BJ19" i="10"/>
  <c r="I22" i="10"/>
  <c r="K22" i="10"/>
  <c r="K21" i="10" s="1"/>
  <c r="Z22" i="10"/>
  <c r="AD22" i="10"/>
  <c r="AE22" i="10"/>
  <c r="AF22" i="10"/>
  <c r="AG22" i="10"/>
  <c r="AH22" i="10"/>
  <c r="AJ22" i="10"/>
  <c r="AS21" i="10" s="1"/>
  <c r="AK22" i="10"/>
  <c r="AT21" i="10" s="1"/>
  <c r="AL22" i="10"/>
  <c r="AU21" i="10" s="1"/>
  <c r="AO22" i="10"/>
  <c r="AW22" i="10" s="1"/>
  <c r="AP22" i="10"/>
  <c r="AX22" i="10"/>
  <c r="BD22" i="10"/>
  <c r="BF22" i="10"/>
  <c r="BI22" i="10"/>
  <c r="AC22" i="10" s="1"/>
  <c r="BJ22" i="10"/>
  <c r="I24" i="10"/>
  <c r="K24" i="10"/>
  <c r="Z24" i="10"/>
  <c r="AD24" i="10"/>
  <c r="AE24" i="10"/>
  <c r="AF24" i="10"/>
  <c r="AG24" i="10"/>
  <c r="AH24" i="10"/>
  <c r="AJ24" i="10"/>
  <c r="AK24" i="10"/>
  <c r="AL24" i="10"/>
  <c r="AO24" i="10"/>
  <c r="BH24" i="10" s="1"/>
  <c r="AB24" i="10" s="1"/>
  <c r="AP24" i="10"/>
  <c r="AW24" i="10"/>
  <c r="AV24" i="10" s="1"/>
  <c r="AX24" i="10"/>
  <c r="BC24" i="10"/>
  <c r="BD24" i="10"/>
  <c r="BF24" i="10"/>
  <c r="BI24" i="10"/>
  <c r="AC24" i="10" s="1"/>
  <c r="BJ24" i="10"/>
  <c r="I25" i="10"/>
  <c r="K25" i="10"/>
  <c r="Z25" i="10"/>
  <c r="AD25" i="10"/>
  <c r="AE25" i="10"/>
  <c r="AF25" i="10"/>
  <c r="AG25" i="10"/>
  <c r="AH25" i="10"/>
  <c r="AJ25" i="10"/>
  <c r="AK25" i="10"/>
  <c r="AL25" i="10"/>
  <c r="AO25" i="10"/>
  <c r="BH25" i="10" s="1"/>
  <c r="AB25" i="10" s="1"/>
  <c r="AP25" i="10"/>
  <c r="AW25" i="10"/>
  <c r="AV25" i="10" s="1"/>
  <c r="AX25" i="10"/>
  <c r="BC25" i="10"/>
  <c r="BD25" i="10"/>
  <c r="BF25" i="10"/>
  <c r="BI25" i="10"/>
  <c r="AC25" i="10" s="1"/>
  <c r="BJ25" i="10"/>
  <c r="C2" i="12"/>
  <c r="G2" i="12"/>
  <c r="J2" i="12"/>
  <c r="C4" i="12"/>
  <c r="G4" i="12"/>
  <c r="J4" i="12"/>
  <c r="C6" i="12"/>
  <c r="G6" i="12"/>
  <c r="J6" i="12"/>
  <c r="C8" i="12"/>
  <c r="G8" i="12"/>
  <c r="J8" i="12"/>
  <c r="I14" i="12"/>
  <c r="K14" i="12"/>
  <c r="K13" i="12" s="1"/>
  <c r="Z14" i="12"/>
  <c r="AD14" i="12"/>
  <c r="AE14" i="12"/>
  <c r="AF14" i="12"/>
  <c r="AG14" i="12"/>
  <c r="AH14" i="12"/>
  <c r="AJ14" i="12"/>
  <c r="AK14" i="12"/>
  <c r="AL14" i="12"/>
  <c r="C27" i="11" s="1"/>
  <c r="F27" i="11" s="1"/>
  <c r="AO14" i="12"/>
  <c r="AP14" i="12"/>
  <c r="AX14" i="12" s="1"/>
  <c r="BC14" i="12" s="1"/>
  <c r="AW14" i="12"/>
  <c r="BD14" i="12"/>
  <c r="BF14" i="12"/>
  <c r="BH14" i="12"/>
  <c r="AB14" i="12" s="1"/>
  <c r="C14" i="11" s="1"/>
  <c r="BJ14" i="12"/>
  <c r="C2" i="14"/>
  <c r="G2" i="14"/>
  <c r="J2" i="14"/>
  <c r="C4" i="14"/>
  <c r="G4" i="14"/>
  <c r="J4" i="14"/>
  <c r="C6" i="14"/>
  <c r="G6" i="14"/>
  <c r="J6" i="14"/>
  <c r="C8" i="14"/>
  <c r="G8" i="14"/>
  <c r="J8" i="14"/>
  <c r="I14" i="14"/>
  <c r="K14" i="14"/>
  <c r="K13" i="14" s="1"/>
  <c r="Z14" i="14"/>
  <c r="AD14" i="14"/>
  <c r="AE14" i="14"/>
  <c r="AF14" i="14"/>
  <c r="AG14" i="14"/>
  <c r="AH14" i="14"/>
  <c r="AJ14" i="14"/>
  <c r="AK14" i="14"/>
  <c r="AO14" i="14"/>
  <c r="AP14" i="14"/>
  <c r="AW14" i="14"/>
  <c r="AV14" i="14" s="1"/>
  <c r="AX14" i="14"/>
  <c r="BD14" i="14"/>
  <c r="BF14" i="14"/>
  <c r="BH14" i="14"/>
  <c r="AB14" i="14" s="1"/>
  <c r="BI14" i="14"/>
  <c r="AC14" i="14" s="1"/>
  <c r="BJ14" i="14"/>
  <c r="I18" i="14"/>
  <c r="K18" i="14"/>
  <c r="K17" i="14" s="1"/>
  <c r="Z18" i="14"/>
  <c r="AB18" i="14"/>
  <c r="AC18" i="14"/>
  <c r="AD18" i="14"/>
  <c r="AE18" i="14"/>
  <c r="AF18" i="14"/>
  <c r="AG18" i="14"/>
  <c r="AJ18" i="14"/>
  <c r="AS17" i="14" s="1"/>
  <c r="AK18" i="14"/>
  <c r="AT17" i="14" s="1"/>
  <c r="AL18" i="14"/>
  <c r="AU17" i="14" s="1"/>
  <c r="AO18" i="14"/>
  <c r="AW18" i="14" s="1"/>
  <c r="AP18" i="14"/>
  <c r="AX18" i="14" s="1"/>
  <c r="BD18" i="14"/>
  <c r="BF18" i="14"/>
  <c r="BH18" i="14"/>
  <c r="BJ18" i="14"/>
  <c r="AH18" i="14" s="1"/>
  <c r="AL14" i="14" l="1"/>
  <c r="C26" i="11"/>
  <c r="F26" i="11" s="1"/>
  <c r="C26" i="16"/>
  <c r="F26" i="16" s="1"/>
  <c r="C20" i="11"/>
  <c r="C20" i="16"/>
  <c r="C18" i="11"/>
  <c r="C18" i="16"/>
  <c r="C16" i="11"/>
  <c r="C16" i="16"/>
  <c r="C25" i="11"/>
  <c r="C25" i="16"/>
  <c r="C19" i="11"/>
  <c r="C19" i="16"/>
  <c r="C17" i="11"/>
  <c r="C17" i="16"/>
  <c r="C21" i="11"/>
  <c r="C21" i="16"/>
  <c r="AV19" i="10"/>
  <c r="AV17" i="10"/>
  <c r="BI14" i="8"/>
  <c r="AC14" i="8" s="1"/>
  <c r="AX508" i="4"/>
  <c r="BC508" i="4" s="1"/>
  <c r="BI504" i="4"/>
  <c r="AC504" i="4" s="1"/>
  <c r="BC495" i="4"/>
  <c r="BC490" i="4"/>
  <c r="BC486" i="4"/>
  <c r="BI480" i="4"/>
  <c r="AC480" i="4" s="1"/>
  <c r="AT444" i="4"/>
  <c r="K444" i="4"/>
  <c r="BC445" i="4"/>
  <c r="BC454" i="4"/>
  <c r="AL454" i="4"/>
  <c r="BC464" i="4"/>
  <c r="BI443" i="4"/>
  <c r="AC443" i="4" s="1"/>
  <c r="BC428" i="4"/>
  <c r="AL428" i="4"/>
  <c r="AU427" i="4" s="1"/>
  <c r="BC418" i="4"/>
  <c r="BI385" i="4"/>
  <c r="AE385" i="4" s="1"/>
  <c r="BI380" i="4"/>
  <c r="AE380" i="4" s="1"/>
  <c r="AV382" i="4"/>
  <c r="BI373" i="4"/>
  <c r="AE373" i="4" s="1"/>
  <c r="BI368" i="4"/>
  <c r="AE368" i="4" s="1"/>
  <c r="BC361" i="4"/>
  <c r="BH358" i="4"/>
  <c r="AD358" i="4" s="1"/>
  <c r="AV355" i="4"/>
  <c r="BC334" i="4"/>
  <c r="BC300" i="4"/>
  <c r="BC289" i="4"/>
  <c r="AV286" i="4"/>
  <c r="BC284" i="4"/>
  <c r="BC264" i="4"/>
  <c r="BC255" i="4"/>
  <c r="BC254" i="4"/>
  <c r="BC245" i="4"/>
  <c r="BC241" i="4"/>
  <c r="BC238" i="4"/>
  <c r="BC236" i="4"/>
  <c r="BC233" i="4"/>
  <c r="BC230" i="4"/>
  <c r="BC227" i="4"/>
  <c r="BH220" i="4"/>
  <c r="AD220" i="4" s="1"/>
  <c r="BI217" i="4"/>
  <c r="AE217" i="4" s="1"/>
  <c r="BC207" i="4"/>
  <c r="BC205" i="4"/>
  <c r="BC159" i="4"/>
  <c r="BC151" i="4"/>
  <c r="AL134" i="4"/>
  <c r="AU133" i="4" s="1"/>
  <c r="BC80" i="4"/>
  <c r="BC76" i="4"/>
  <c r="BC65" i="4"/>
  <c r="BC63" i="4"/>
  <c r="BC58" i="4"/>
  <c r="BH48" i="4"/>
  <c r="AB48" i="4" s="1"/>
  <c r="BC46" i="4"/>
  <c r="BC39" i="4"/>
  <c r="AL26" i="4"/>
  <c r="AU25" i="4" s="1"/>
  <c r="AL14" i="4"/>
  <c r="BH371" i="4"/>
  <c r="AD371" i="4" s="1"/>
  <c r="AV370" i="4"/>
  <c r="AV365" i="4"/>
  <c r="BI359" i="4"/>
  <c r="AE359" i="4" s="1"/>
  <c r="BH356" i="4"/>
  <c r="AD356" i="4" s="1"/>
  <c r="BC295" i="4"/>
  <c r="BC293" i="4"/>
  <c r="BC252" i="4"/>
  <c r="AV141" i="4"/>
  <c r="BC84" i="4"/>
  <c r="AL20" i="4"/>
  <c r="AU19" i="4" s="1"/>
  <c r="BC20" i="4"/>
  <c r="AL17" i="4"/>
  <c r="AU16" i="4" s="1"/>
  <c r="BI18" i="14"/>
  <c r="BC14" i="14"/>
  <c r="BI14" i="12"/>
  <c r="AC14" i="12" s="1"/>
  <c r="C15" i="11" s="1"/>
  <c r="AV14" i="12"/>
  <c r="BH22" i="10"/>
  <c r="AB22" i="10" s="1"/>
  <c r="BC17" i="10"/>
  <c r="BC14" i="10"/>
  <c r="AV20" i="8"/>
  <c r="AV16" i="8"/>
  <c r="BI14" i="6"/>
  <c r="AC14" i="6" s="1"/>
  <c r="C15" i="5" s="1"/>
  <c r="C22" i="5" s="1"/>
  <c r="AS13" i="6"/>
  <c r="BC509" i="4"/>
  <c r="AV507" i="4"/>
  <c r="BC506" i="4"/>
  <c r="BC502" i="4"/>
  <c r="BI501" i="4"/>
  <c r="AC501" i="4" s="1"/>
  <c r="BC491" i="4"/>
  <c r="BC483" i="4"/>
  <c r="AV480" i="4"/>
  <c r="BC466" i="4"/>
  <c r="BI409" i="4"/>
  <c r="AE409" i="4" s="1"/>
  <c r="AV385" i="4"/>
  <c r="BH373" i="4"/>
  <c r="AD373" i="4" s="1"/>
  <c r="BC372" i="4"/>
  <c r="BC368" i="4"/>
  <c r="AV367" i="4"/>
  <c r="BC364" i="4"/>
  <c r="BH363" i="4"/>
  <c r="AD363" i="4" s="1"/>
  <c r="BC362" i="4"/>
  <c r="AV361" i="4"/>
  <c r="AV360" i="4"/>
  <c r="AV357" i="4"/>
  <c r="BI354" i="4"/>
  <c r="AE354" i="4" s="1"/>
  <c r="BC337" i="4"/>
  <c r="BC292" i="4"/>
  <c r="BI291" i="4"/>
  <c r="AE291" i="4" s="1"/>
  <c r="BI258" i="4"/>
  <c r="AE258" i="4" s="1"/>
  <c r="BI200" i="4"/>
  <c r="AE200" i="4" s="1"/>
  <c r="BC185" i="4"/>
  <c r="AV177" i="4"/>
  <c r="AV165" i="4"/>
  <c r="BC146" i="4"/>
  <c r="BC127" i="4"/>
  <c r="BH124" i="4"/>
  <c r="AB124" i="4" s="1"/>
  <c r="BC122" i="4"/>
  <c r="BI119" i="4"/>
  <c r="AC119" i="4" s="1"/>
  <c r="BC101" i="4"/>
  <c r="BC72" i="4"/>
  <c r="BC69" i="4"/>
  <c r="BC50" i="4"/>
  <c r="BC29" i="4"/>
  <c r="BI26" i="4"/>
  <c r="AC26" i="4" s="1"/>
  <c r="AV18" i="14"/>
  <c r="BC18" i="14"/>
  <c r="C15" i="13"/>
  <c r="C27" i="13"/>
  <c r="F27" i="13" s="1"/>
  <c r="C25" i="13"/>
  <c r="I26" i="13" s="1"/>
  <c r="I27" i="13" s="1"/>
  <c r="C19" i="13"/>
  <c r="C17" i="13"/>
  <c r="C21" i="13"/>
  <c r="C14" i="13"/>
  <c r="C26" i="13"/>
  <c r="F26" i="13" s="1"/>
  <c r="C20" i="13"/>
  <c r="C20" i="1" s="1"/>
  <c r="C18" i="13"/>
  <c r="C16" i="13"/>
  <c r="K12" i="14"/>
  <c r="K19" i="14"/>
  <c r="L18" i="2" s="1"/>
  <c r="P18" i="2" s="1"/>
  <c r="AU13" i="14"/>
  <c r="AS13" i="14"/>
  <c r="AT13" i="14"/>
  <c r="K12" i="12"/>
  <c r="K16" i="12"/>
  <c r="L16" i="2" s="1"/>
  <c r="P16" i="2" s="1"/>
  <c r="C22" i="11"/>
  <c r="I26" i="11"/>
  <c r="I27" i="11" s="1"/>
  <c r="AT13" i="12"/>
  <c r="AU13" i="12"/>
  <c r="AS13" i="12"/>
  <c r="AT23" i="10"/>
  <c r="K23" i="10"/>
  <c r="AU23" i="10"/>
  <c r="AS23" i="10"/>
  <c r="AV22" i="10"/>
  <c r="BC22" i="10"/>
  <c r="C14" i="9"/>
  <c r="C26" i="9"/>
  <c r="F26" i="9" s="1"/>
  <c r="C20" i="9"/>
  <c r="C18" i="9"/>
  <c r="C16" i="9"/>
  <c r="C15" i="9"/>
  <c r="C19" i="9"/>
  <c r="C17" i="9"/>
  <c r="C21" i="9"/>
  <c r="K12" i="10"/>
  <c r="K26" i="10"/>
  <c r="L15" i="2" s="1"/>
  <c r="P15" i="2" s="1"/>
  <c r="AT13" i="10"/>
  <c r="C27" i="9"/>
  <c r="F27" i="9" s="1"/>
  <c r="C25" i="9"/>
  <c r="C15" i="7"/>
  <c r="C26" i="7"/>
  <c r="F26" i="7" s="1"/>
  <c r="C20" i="7"/>
  <c r="C18" i="7"/>
  <c r="C16" i="7"/>
  <c r="K13" i="8"/>
  <c r="K12" i="8" s="1"/>
  <c r="C14" i="7"/>
  <c r="C27" i="7"/>
  <c r="F27" i="7" s="1"/>
  <c r="C25" i="7"/>
  <c r="C19" i="7"/>
  <c r="C17" i="7"/>
  <c r="C21" i="7"/>
  <c r="AV14" i="8"/>
  <c r="BC14" i="8"/>
  <c r="AT13" i="8"/>
  <c r="AU13" i="8"/>
  <c r="AS13" i="8"/>
  <c r="BC14" i="6"/>
  <c r="AV14" i="6"/>
  <c r="K17" i="6"/>
  <c r="L13" i="2" s="1"/>
  <c r="P13" i="2" s="1"/>
  <c r="K12" i="6"/>
  <c r="AL14" i="6"/>
  <c r="AT13" i="6"/>
  <c r="AV511" i="4"/>
  <c r="AU505" i="4"/>
  <c r="AS505" i="4"/>
  <c r="AT505" i="4"/>
  <c r="K505" i="4"/>
  <c r="BI510" i="4"/>
  <c r="AC510" i="4" s="1"/>
  <c r="AV506" i="4"/>
  <c r="AV502" i="4"/>
  <c r="AU500" i="4"/>
  <c r="AS500" i="4"/>
  <c r="AT500" i="4"/>
  <c r="K500" i="4"/>
  <c r="AV501" i="4"/>
  <c r="BC501" i="4"/>
  <c r="BI498" i="4"/>
  <c r="AC498" i="4" s="1"/>
  <c r="AV495" i="4"/>
  <c r="BC494" i="4"/>
  <c r="BC493" i="4"/>
  <c r="BC492" i="4"/>
  <c r="BI490" i="4"/>
  <c r="AV490" i="4"/>
  <c r="AV486" i="4"/>
  <c r="AV483" i="4"/>
  <c r="BC480" i="4"/>
  <c r="BI478" i="4"/>
  <c r="AC478" i="4" s="1"/>
  <c r="AV466" i="4"/>
  <c r="AV464" i="4"/>
  <c r="AV443" i="4"/>
  <c r="AV441" i="4"/>
  <c r="BC430" i="4"/>
  <c r="AV428" i="4"/>
  <c r="AV418" i="4"/>
  <c r="BH414" i="4"/>
  <c r="AD414" i="4" s="1"/>
  <c r="BI406" i="4"/>
  <c r="AE406" i="4" s="1"/>
  <c r="AV392" i="4"/>
  <c r="BH389" i="4"/>
  <c r="AD389" i="4" s="1"/>
  <c r="AV380" i="4"/>
  <c r="AV375" i="4"/>
  <c r="BC373" i="4"/>
  <c r="AV373" i="4"/>
  <c r="AV372" i="4"/>
  <c r="AV371" i="4"/>
  <c r="BC371" i="4"/>
  <c r="BC369" i="4"/>
  <c r="AV369" i="4"/>
  <c r="AV368" i="4"/>
  <c r="AV366" i="4"/>
  <c r="BC366" i="4"/>
  <c r="AV363" i="4"/>
  <c r="BC363" i="4"/>
  <c r="BC359" i="4"/>
  <c r="AV359" i="4"/>
  <c r="AV358" i="4"/>
  <c r="BC358" i="4"/>
  <c r="AV356" i="4"/>
  <c r="BC356" i="4"/>
  <c r="AU353" i="4"/>
  <c r="AS353" i="4"/>
  <c r="AT353" i="4"/>
  <c r="K353" i="4"/>
  <c r="AV354" i="4"/>
  <c r="BC354" i="4"/>
  <c r="BI346" i="4"/>
  <c r="AE346" i="4" s="1"/>
  <c r="AV334" i="4"/>
  <c r="BI329" i="4"/>
  <c r="AE329" i="4" s="1"/>
  <c r="AV315" i="4"/>
  <c r="BH313" i="4"/>
  <c r="AD313" i="4" s="1"/>
  <c r="AV300" i="4"/>
  <c r="BI299" i="4"/>
  <c r="AE299" i="4" s="1"/>
  <c r="AV297" i="4"/>
  <c r="AV296" i="4"/>
  <c r="AV295" i="4"/>
  <c r="AV293" i="4"/>
  <c r="AV292" i="4"/>
  <c r="AV291" i="4"/>
  <c r="BC291" i="4"/>
  <c r="BI289" i="4"/>
  <c r="AV284" i="4"/>
  <c r="BI274" i="4"/>
  <c r="AE274" i="4" s="1"/>
  <c r="BC266" i="4"/>
  <c r="AV264" i="4"/>
  <c r="BH258" i="4"/>
  <c r="AD258" i="4" s="1"/>
  <c r="AV254" i="4"/>
  <c r="AV253" i="4"/>
  <c r="AV252" i="4"/>
  <c r="AV247" i="4"/>
  <c r="AV241" i="4"/>
  <c r="AV236" i="4"/>
  <c r="AV222" i="4"/>
  <c r="BI220" i="4"/>
  <c r="AE220" i="4" s="1"/>
  <c r="AV215" i="4"/>
  <c r="AV212" i="4"/>
  <c r="BH210" i="4"/>
  <c r="AD210" i="4" s="1"/>
  <c r="AV205" i="4"/>
  <c r="AV200" i="4"/>
  <c r="AV196" i="4"/>
  <c r="AV194" i="4"/>
  <c r="BI190" i="4"/>
  <c r="AE190" i="4" s="1"/>
  <c r="BI181" i="4"/>
  <c r="AE181" i="4" s="1"/>
  <c r="AV174" i="4"/>
  <c r="BI172" i="4"/>
  <c r="AE172" i="4" s="1"/>
  <c r="BC165" i="4"/>
  <c r="AV159" i="4"/>
  <c r="BI154" i="4"/>
  <c r="AC154" i="4" s="1"/>
  <c r="AV151" i="4"/>
  <c r="AV146" i="4"/>
  <c r="BI134" i="4"/>
  <c r="AC134" i="4" s="1"/>
  <c r="AV130" i="4"/>
  <c r="AV127" i="4"/>
  <c r="AV122" i="4"/>
  <c r="AV118" i="4"/>
  <c r="AV116" i="4"/>
  <c r="AV113" i="4"/>
  <c r="BI107" i="4"/>
  <c r="AC107" i="4" s="1"/>
  <c r="AV101" i="4"/>
  <c r="AV96" i="4"/>
  <c r="BI92" i="4"/>
  <c r="AC92" i="4" s="1"/>
  <c r="AV84" i="4"/>
  <c r="AV76" i="4"/>
  <c r="AV69" i="4"/>
  <c r="AV65" i="4"/>
  <c r="AV63" i="4"/>
  <c r="BI58" i="4"/>
  <c r="AC58" i="4" s="1"/>
  <c r="BC286" i="4"/>
  <c r="BH276" i="4"/>
  <c r="AD276" i="4" s="1"/>
  <c r="C16" i="3" s="1"/>
  <c r="C16" i="1" s="1"/>
  <c r="AV271" i="4"/>
  <c r="AV266" i="4"/>
  <c r="AV245" i="4"/>
  <c r="AV238" i="4"/>
  <c r="AV233" i="4"/>
  <c r="AV230" i="4"/>
  <c r="AV227" i="4"/>
  <c r="BC110" i="4"/>
  <c r="BI110" i="4"/>
  <c r="AC110" i="4" s="1"/>
  <c r="AV80" i="4"/>
  <c r="AV39" i="4"/>
  <c r="AV20" i="4"/>
  <c r="BI17" i="4"/>
  <c r="AC17" i="4" s="1"/>
  <c r="AV509" i="4"/>
  <c r="AV510" i="4"/>
  <c r="BC510" i="4"/>
  <c r="AV504" i="4"/>
  <c r="BC504" i="4"/>
  <c r="BC344" i="4"/>
  <c r="AV344" i="4"/>
  <c r="BC327" i="4"/>
  <c r="AV327" i="4"/>
  <c r="AV289" i="4"/>
  <c r="BI243" i="4"/>
  <c r="BC243" i="4"/>
  <c r="BC203" i="4"/>
  <c r="AV203" i="4"/>
  <c r="AV498" i="4"/>
  <c r="AV493" i="4"/>
  <c r="AV492" i="4"/>
  <c r="AV491" i="4"/>
  <c r="AT485" i="4"/>
  <c r="K485" i="4"/>
  <c r="AU485" i="4"/>
  <c r="AS485" i="4"/>
  <c r="AV478" i="4"/>
  <c r="BC478" i="4"/>
  <c r="AV468" i="4"/>
  <c r="BC468" i="4"/>
  <c r="AU463" i="4"/>
  <c r="AS463" i="4"/>
  <c r="AT463" i="4"/>
  <c r="K463" i="4"/>
  <c r="AU444" i="4"/>
  <c r="AS444" i="4"/>
  <c r="AV445" i="4"/>
  <c r="BI439" i="4"/>
  <c r="AC439" i="4" s="1"/>
  <c r="AV439" i="4"/>
  <c r="AS429" i="4"/>
  <c r="AU429" i="4"/>
  <c r="AT429" i="4"/>
  <c r="K429" i="4"/>
  <c r="AV430" i="4"/>
  <c r="AU413" i="4"/>
  <c r="AS413" i="4"/>
  <c r="AT413" i="4"/>
  <c r="K413" i="4"/>
  <c r="AV414" i="4"/>
  <c r="BC414" i="4"/>
  <c r="BC409" i="4"/>
  <c r="AV409" i="4"/>
  <c r="AV406" i="4"/>
  <c r="BC406" i="4"/>
  <c r="AV403" i="4"/>
  <c r="BC403" i="4"/>
  <c r="AT398" i="4"/>
  <c r="K398" i="4"/>
  <c r="AU398" i="4"/>
  <c r="AS398" i="4"/>
  <c r="BI399" i="4"/>
  <c r="AE399" i="4" s="1"/>
  <c r="BC399" i="4"/>
  <c r="AV399" i="4"/>
  <c r="AV395" i="4"/>
  <c r="BC395" i="4"/>
  <c r="AT388" i="4"/>
  <c r="K388" i="4"/>
  <c r="AU388" i="4"/>
  <c r="AS388" i="4"/>
  <c r="BC389" i="4"/>
  <c r="AV389" i="4"/>
  <c r="AT374" i="4"/>
  <c r="K374" i="4"/>
  <c r="AU374" i="4"/>
  <c r="AS374" i="4"/>
  <c r="AV346" i="4"/>
  <c r="BC346" i="4"/>
  <c r="AV337" i="4"/>
  <c r="BC331" i="4"/>
  <c r="AV331" i="4"/>
  <c r="AU328" i="4"/>
  <c r="AS328" i="4"/>
  <c r="AT328" i="4"/>
  <c r="K328" i="4"/>
  <c r="AV329" i="4"/>
  <c r="BC329" i="4"/>
  <c r="AU312" i="4"/>
  <c r="AS312" i="4"/>
  <c r="AT312" i="4"/>
  <c r="K312" i="4"/>
  <c r="AV313" i="4"/>
  <c r="BC313" i="4"/>
  <c r="BC310" i="4"/>
  <c r="AV310" i="4"/>
  <c r="AV305" i="4"/>
  <c r="BC305" i="4"/>
  <c r="AT301" i="4"/>
  <c r="K301" i="4"/>
  <c r="AU301" i="4"/>
  <c r="AS301" i="4"/>
  <c r="BC302" i="4"/>
  <c r="AV302" i="4"/>
  <c r="AV299" i="4"/>
  <c r="BC299" i="4"/>
  <c r="AV298" i="4"/>
  <c r="BC298" i="4"/>
  <c r="AV294" i="4"/>
  <c r="BC294" i="4"/>
  <c r="AU290" i="4"/>
  <c r="AS290" i="4"/>
  <c r="AT290" i="4"/>
  <c r="K290" i="4"/>
  <c r="AV281" i="4"/>
  <c r="BC281" i="4"/>
  <c r="BC279" i="4"/>
  <c r="AV279" i="4"/>
  <c r="AV276" i="4"/>
  <c r="BC276" i="4"/>
  <c r="AV274" i="4"/>
  <c r="AV269" i="4"/>
  <c r="BC269" i="4"/>
  <c r="AU263" i="4"/>
  <c r="AT263" i="4"/>
  <c r="K263" i="4"/>
  <c r="AS263" i="4"/>
  <c r="BC262" i="4"/>
  <c r="AV262" i="4"/>
  <c r="AU259" i="4"/>
  <c r="AS259" i="4"/>
  <c r="AT259" i="4"/>
  <c r="K259" i="4"/>
  <c r="BI260" i="4"/>
  <c r="AE260" i="4" s="1"/>
  <c r="AV260" i="4"/>
  <c r="BC260" i="4"/>
  <c r="BC258" i="4"/>
  <c r="AV258" i="4"/>
  <c r="AV257" i="4"/>
  <c r="BC257" i="4"/>
  <c r="AV256" i="4"/>
  <c r="BC253" i="4"/>
  <c r="BI255" i="4"/>
  <c r="AE255" i="4" s="1"/>
  <c r="AV255" i="4"/>
  <c r="BC251" i="4"/>
  <c r="AV251" i="4"/>
  <c r="BI250" i="4"/>
  <c r="AE250" i="4" s="1"/>
  <c r="AV250" i="4"/>
  <c r="BC250" i="4"/>
  <c r="AT244" i="4"/>
  <c r="K244" i="4"/>
  <c r="AU244" i="4"/>
  <c r="AS244" i="4"/>
  <c r="AV243" i="4"/>
  <c r="BC225" i="4"/>
  <c r="AV225" i="4"/>
  <c r="AV220" i="4"/>
  <c r="BC220" i="4"/>
  <c r="AV217" i="4"/>
  <c r="AV210" i="4"/>
  <c r="BC210" i="4"/>
  <c r="AT204" i="4"/>
  <c r="K204" i="4"/>
  <c r="AU204" i="4"/>
  <c r="AS204" i="4"/>
  <c r="AV202" i="4"/>
  <c r="BC202" i="4"/>
  <c r="BC200" i="4"/>
  <c r="AV198" i="4"/>
  <c r="BC198" i="4"/>
  <c r="AU189" i="4"/>
  <c r="AS189" i="4"/>
  <c r="AT189" i="4"/>
  <c r="K189" i="4"/>
  <c r="AV190" i="4"/>
  <c r="BC190" i="4"/>
  <c r="BC181" i="4"/>
  <c r="AV181" i="4"/>
  <c r="AT171" i="4"/>
  <c r="K171" i="4"/>
  <c r="AU171" i="4"/>
  <c r="AS171" i="4"/>
  <c r="AV172" i="4"/>
  <c r="AT158" i="4"/>
  <c r="K158" i="4"/>
  <c r="AU158" i="4"/>
  <c r="AS158" i="4"/>
  <c r="AV154" i="4"/>
  <c r="BC154" i="4"/>
  <c r="AT140" i="4"/>
  <c r="K140" i="4"/>
  <c r="AU140" i="4"/>
  <c r="AS140" i="4"/>
  <c r="AV134" i="4"/>
  <c r="BC134" i="4"/>
  <c r="AT126" i="4"/>
  <c r="K126" i="4"/>
  <c r="AU126" i="4"/>
  <c r="AS126" i="4"/>
  <c r="AV124" i="4"/>
  <c r="BC124" i="4"/>
  <c r="AT121" i="4"/>
  <c r="K121" i="4"/>
  <c r="AU121" i="4"/>
  <c r="AS121" i="4"/>
  <c r="AV119" i="4"/>
  <c r="BC119" i="4"/>
  <c r="AV110" i="4"/>
  <c r="AT106" i="4"/>
  <c r="AU106" i="4"/>
  <c r="AS106" i="4"/>
  <c r="K106" i="4"/>
  <c r="BC107" i="4"/>
  <c r="AV107" i="4"/>
  <c r="AV92" i="4"/>
  <c r="BC92" i="4"/>
  <c r="AT83" i="4"/>
  <c r="K83" i="4"/>
  <c r="AU83" i="4"/>
  <c r="AS83" i="4"/>
  <c r="AV78" i="4"/>
  <c r="BC78" i="4"/>
  <c r="AV72" i="4"/>
  <c r="AV74" i="4"/>
  <c r="BC74" i="4"/>
  <c r="AV67" i="4"/>
  <c r="BC67" i="4"/>
  <c r="AV61" i="4"/>
  <c r="BC61" i="4"/>
  <c r="AV58" i="4"/>
  <c r="AV55" i="4"/>
  <c r="BC55" i="4"/>
  <c r="AT49" i="4"/>
  <c r="K49" i="4"/>
  <c r="AU49" i="4"/>
  <c r="AS49" i="4"/>
  <c r="AV50" i="4"/>
  <c r="AV48" i="4"/>
  <c r="BC48" i="4"/>
  <c r="AV34" i="4"/>
  <c r="BC34" i="4"/>
  <c r="AT28" i="4"/>
  <c r="K28" i="4"/>
  <c r="AU28" i="4"/>
  <c r="AS28" i="4"/>
  <c r="AV29" i="4"/>
  <c r="AV26" i="4"/>
  <c r="BC26" i="4"/>
  <c r="AV17" i="4"/>
  <c r="BC17" i="4"/>
  <c r="C26" i="3"/>
  <c r="F26" i="3" s="1"/>
  <c r="C20" i="3"/>
  <c r="C18" i="3"/>
  <c r="C14" i="3"/>
  <c r="C14" i="1" s="1"/>
  <c r="C27" i="3"/>
  <c r="F27" i="3" s="1"/>
  <c r="C25" i="3"/>
  <c r="C19" i="3"/>
  <c r="C21" i="3"/>
  <c r="C21" i="1" s="1"/>
  <c r="AV14" i="4"/>
  <c r="BC14" i="4"/>
  <c r="AT13" i="4"/>
  <c r="AU13" i="4"/>
  <c r="AS13" i="4"/>
  <c r="C22" i="13" l="1"/>
  <c r="C22" i="16"/>
  <c r="C27" i="16" s="1"/>
  <c r="F27" i="16" s="1"/>
  <c r="AV508" i="4"/>
  <c r="C17" i="3"/>
  <c r="C17" i="1" s="1"/>
  <c r="K23" i="8"/>
  <c r="L14" i="2" s="1"/>
  <c r="P14" i="2" s="1"/>
  <c r="C22" i="9"/>
  <c r="I26" i="9"/>
  <c r="I27" i="9" s="1"/>
  <c r="I26" i="7"/>
  <c r="I27" i="7" s="1"/>
  <c r="C22" i="7"/>
  <c r="C27" i="5"/>
  <c r="AU13" i="6"/>
  <c r="C15" i="3"/>
  <c r="C15" i="1" s="1"/>
  <c r="K12" i="4"/>
  <c r="K512" i="4"/>
  <c r="L12" i="2" s="1"/>
  <c r="P12" i="2" s="1"/>
  <c r="I26" i="3"/>
  <c r="I27" i="3" s="1"/>
  <c r="I26" i="16" l="1"/>
  <c r="I27" i="16" s="1"/>
  <c r="L19" i="2"/>
  <c r="C22" i="3"/>
  <c r="C22" i="1"/>
  <c r="C29" i="1" s="1"/>
  <c r="F27" i="5"/>
  <c r="I26" i="5"/>
  <c r="I28" i="1" l="1"/>
  <c r="F29" i="1"/>
  <c r="I27" i="5"/>
  <c r="I29" i="1" l="1"/>
</calcChain>
</file>

<file path=xl/sharedStrings.xml><?xml version="1.0" encoding="utf-8"?>
<sst xmlns="http://schemas.openxmlformats.org/spreadsheetml/2006/main" count="6738" uniqueCount="1119">
  <si>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</si>
  <si>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</si>
  <si>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</si>
  <si>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</si>
  <si>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</si>
  <si>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</si>
  <si>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</si>
  <si>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</si>
  <si>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</si>
  <si>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</si>
  <si>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</si>
  <si>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</si>
  <si>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</si>
  <si>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</si>
  <si>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</si>
  <si>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</si>
  <si>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</si>
  <si>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</si>
  <si>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</si>
  <si>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</si>
  <si>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</si>
  <si>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</si>
  <si>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</si>
  <si>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</si>
  <si>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</si>
  <si>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</si>
  <si>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</si>
  <si>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</si>
  <si>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</si>
  <si>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</si>
  <si>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</si>
  <si>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</si>
  <si>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</si>
  <si>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</si>
  <si>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</si>
  <si>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</si>
  <si>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</si>
  <si>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</si>
  <si>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</si>
  <si>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</si>
  <si>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</si>
  <si>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</si>
  <si>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</si>
  <si>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</si>
  <si>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</si>
  <si>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</si>
  <si>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</si>
  <si>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</si>
  <si>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</si>
  <si>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</si>
  <si>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</si>
  <si>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</si>
  <si>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</si>
  <si>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</si>
  <si>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</si>
  <si>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</si>
  <si>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194</t>
  </si>
  <si>
    <t>Slepý stavební rozpočet - Jen objekty celkem</t>
  </si>
  <si>
    <t xml:space="preserve"> </t>
  </si>
  <si>
    <t>Zkrácený popis</t>
  </si>
  <si>
    <t>Stávající objekt RD</t>
  </si>
  <si>
    <t>Zpevněné plochy</t>
  </si>
  <si>
    <t>Splašková kanalizace</t>
  </si>
  <si>
    <t>Dešťová kanalizace</t>
  </si>
  <si>
    <t>Stávající zdroj pitné vody</t>
  </si>
  <si>
    <t>Venkovní stolní tenis (sportoviště)</t>
  </si>
  <si>
    <t>Doba výstavby:</t>
  </si>
  <si>
    <t>Zpracováno dne:</t>
  </si>
  <si>
    <t>Celkem:</t>
  </si>
  <si>
    <t>Náklady (Kč)</t>
  </si>
  <si>
    <t>Celkem</t>
  </si>
  <si>
    <t>F</t>
  </si>
  <si>
    <t>SO 01</t>
  </si>
  <si>
    <t>SO 03</t>
  </si>
  <si>
    <t>SO 04</t>
  </si>
  <si>
    <t>SO 05</t>
  </si>
  <si>
    <t>SO 06</t>
  </si>
  <si>
    <t>SO 08</t>
  </si>
  <si>
    <t>Krycí list slepého rozpočtu (SO 01 - Stávající objekt RD)</t>
  </si>
  <si>
    <t>180</t>
  </si>
  <si>
    <t>Slepý stavební rozpočet (SO 01 - Stávající objekt RD)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</si>
  <si>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</si>
  <si>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</si>
  <si>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</si>
  <si>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</si>
  <si>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</si>
  <si>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</si>
  <si>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</si>
  <si>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</si>
  <si>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</si>
  <si>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</si>
  <si>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</si>
  <si>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</si>
  <si>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</si>
  <si>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</si>
  <si>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</si>
  <si>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</si>
  <si>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</si>
  <si>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</si>
  <si>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</si>
  <si>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</si>
  <si>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</si>
  <si>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</si>
  <si>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</si>
  <si>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</si>
  <si>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</si>
  <si>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</si>
  <si>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</si>
  <si>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</si>
  <si>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</si>
  <si>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</si>
  <si>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</si>
  <si>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</si>
  <si>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</si>
  <si>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</si>
  <si>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</si>
  <si>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</si>
  <si>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</si>
  <si>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</si>
  <si>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</si>
  <si>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</si>
  <si>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</si>
  <si>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</si>
  <si>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</si>
  <si>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</si>
  <si>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</si>
  <si>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</si>
  <si>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</si>
  <si>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</si>
  <si>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</si>
  <si>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</si>
  <si>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</si>
  <si>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</si>
  <si>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</si>
  <si>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</si>
  <si>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</si>
  <si>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</si>
  <si>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</si>
  <si>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</si>
  <si>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</si>
  <si>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</si>
  <si>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</si>
  <si>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</si>
  <si>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</si>
  <si>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</si>
  <si>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</si>
  <si>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</si>
  <si>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</si>
  <si>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</si>
  <si>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</si>
  <si>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</si>
  <si>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</si>
  <si>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</si>
  <si>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</si>
  <si>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</si>
  <si>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</si>
  <si>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</si>
  <si>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</si>
  <si>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</si>
  <si>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</si>
  <si>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</si>
  <si>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</si>
  <si>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</si>
  <si>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</si>
  <si>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</si>
  <si>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</si>
  <si>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</si>
  <si>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</si>
  <si>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</si>
  <si>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</si>
  <si>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</si>
  <si>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</si>
  <si>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</si>
  <si>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</si>
  <si>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</si>
  <si>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</si>
  <si>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</si>
  <si>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</si>
  <si>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</si>
  <si>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</si>
  <si>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</si>
  <si>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</si>
  <si>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</si>
  <si>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</si>
  <si>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</si>
  <si>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</si>
  <si>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</si>
  <si>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</si>
  <si>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</si>
  <si>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</si>
  <si>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</si>
  <si>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</si>
  <si>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</si>
  <si>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</si>
  <si>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</si>
  <si>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</si>
  <si>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</si>
  <si>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</si>
  <si>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</si>
  <si>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</si>
  <si>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</si>
  <si>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</si>
  <si>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</si>
  <si>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</si>
  <si>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</si>
  <si>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</si>
  <si>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</si>
  <si>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</si>
  <si>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</si>
  <si>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</si>
  <si>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</si>
  <si>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</si>
  <si>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</si>
  <si>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</si>
  <si>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</si>
  <si>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</si>
  <si>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</si>
  <si>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</si>
  <si>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</si>
  <si>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</si>
  <si>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</si>
  <si>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</si>
  <si>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</si>
  <si>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</si>
  <si>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</si>
  <si>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</si>
  <si>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</si>
  <si>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</si>
  <si>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</si>
  <si>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</si>
  <si>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</si>
  <si>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</si>
  <si>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</si>
  <si>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</si>
  <si>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</si>
  <si>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</si>
  <si>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</si>
  <si>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</si>
  <si>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</si>
  <si>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</si>
  <si>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</si>
  <si>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</si>
  <si>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</si>
  <si>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</si>
  <si>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</si>
  <si>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</si>
  <si>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</si>
  <si>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</si>
  <si>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</si>
  <si>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</si>
  <si>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</si>
  <si>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</si>
  <si>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</si>
  <si>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</si>
  <si>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</si>
  <si>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</si>
  <si>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</si>
  <si>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</si>
  <si>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</si>
  <si>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</si>
  <si>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</si>
  <si>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Kód</t>
  </si>
  <si>
    <t>113107615R00</t>
  </si>
  <si>
    <t>121101101R00</t>
  </si>
  <si>
    <t>139600013RAA</t>
  </si>
  <si>
    <t>Varianta:</t>
  </si>
  <si>
    <t>175101201R00</t>
  </si>
  <si>
    <t>273321116R00</t>
  </si>
  <si>
    <t>271571112R00</t>
  </si>
  <si>
    <t>273361921RT5</t>
  </si>
  <si>
    <t>273351215R00</t>
  </si>
  <si>
    <t>273351216R00</t>
  </si>
  <si>
    <t>311271177RT6</t>
  </si>
  <si>
    <t>311271175RT5</t>
  </si>
  <si>
    <t>311271182R00</t>
  </si>
  <si>
    <t>317120010RAA</t>
  </si>
  <si>
    <t>317120012RAA</t>
  </si>
  <si>
    <t>319300012RT1</t>
  </si>
  <si>
    <t>319300014RT1</t>
  </si>
  <si>
    <t>319300011RT1</t>
  </si>
  <si>
    <t>319300013RT1</t>
  </si>
  <si>
    <t>319300013RT2</t>
  </si>
  <si>
    <t>314200063RAC</t>
  </si>
  <si>
    <t>311101213R00</t>
  </si>
  <si>
    <t>311112030RT3</t>
  </si>
  <si>
    <t>342255028R00</t>
  </si>
  <si>
    <t>342255024RT1</t>
  </si>
  <si>
    <t>342280040RAL</t>
  </si>
  <si>
    <t>342280040RAK</t>
  </si>
  <si>
    <t>411900001RAA</t>
  </si>
  <si>
    <t>413941123RT6</t>
  </si>
  <si>
    <t>417320035RAA</t>
  </si>
  <si>
    <t>417351115R00</t>
  </si>
  <si>
    <t>417351116R00</t>
  </si>
  <si>
    <t>416021121R00</t>
  </si>
  <si>
    <t>602016191R00</t>
  </si>
  <si>
    <t>601016191R00</t>
  </si>
  <si>
    <t>611475121R00</t>
  </si>
  <si>
    <t>612475121R00</t>
  </si>
  <si>
    <t>622311134R00</t>
  </si>
  <si>
    <t>632442121R00</t>
  </si>
  <si>
    <t>632442122R00</t>
  </si>
  <si>
    <t>632441111R00</t>
  </si>
  <si>
    <t>632441112R00</t>
  </si>
  <si>
    <t>711</t>
  </si>
  <si>
    <t>711171559RV1</t>
  </si>
  <si>
    <t>711141559RX5</t>
  </si>
  <si>
    <t>713</t>
  </si>
  <si>
    <t>713190811R00</t>
  </si>
  <si>
    <t>713120030RAG</t>
  </si>
  <si>
    <t>713121111RV5</t>
  </si>
  <si>
    <t>713111211RK3</t>
  </si>
  <si>
    <t>713121111RV4</t>
  </si>
  <si>
    <t>721</t>
  </si>
  <si>
    <t>721242110RT2</t>
  </si>
  <si>
    <t>721178104R00</t>
  </si>
  <si>
    <t>721178103R00</t>
  </si>
  <si>
    <t>721178106R00</t>
  </si>
  <si>
    <t>721290111R00</t>
  </si>
  <si>
    <t>992001011IM</t>
  </si>
  <si>
    <t>998721101R00</t>
  </si>
  <si>
    <t>722</t>
  </si>
  <si>
    <t>722176151R00</t>
  </si>
  <si>
    <t>28614310.A</t>
  </si>
  <si>
    <t>722176152R00</t>
  </si>
  <si>
    <t>28614311.A</t>
  </si>
  <si>
    <t>722176153R00</t>
  </si>
  <si>
    <t>28614312.A</t>
  </si>
  <si>
    <t>722176154R00</t>
  </si>
  <si>
    <t>28614313.A</t>
  </si>
  <si>
    <t>722182011R00</t>
  </si>
  <si>
    <t>28377100</t>
  </si>
  <si>
    <t>28377102</t>
  </si>
  <si>
    <t>28377109</t>
  </si>
  <si>
    <t>722182014R00</t>
  </si>
  <si>
    <t>28377113</t>
  </si>
  <si>
    <t>722290215R00</t>
  </si>
  <si>
    <t>998722101R00</t>
  </si>
  <si>
    <t>725</t>
  </si>
  <si>
    <t>725119306R00</t>
  </si>
  <si>
    <t>992001019IM</t>
  </si>
  <si>
    <t>725013138R00</t>
  </si>
  <si>
    <t>725219201R00</t>
  </si>
  <si>
    <t>725017134R00</t>
  </si>
  <si>
    <t>725224137R00</t>
  </si>
  <si>
    <t>725839203R00</t>
  </si>
  <si>
    <t>725829301R00</t>
  </si>
  <si>
    <t>725849200R00</t>
  </si>
  <si>
    <t>725100005RA0</t>
  </si>
  <si>
    <t>725860107R00</t>
  </si>
  <si>
    <t>731</t>
  </si>
  <si>
    <t>731249124R00</t>
  </si>
  <si>
    <t>992001022IM</t>
  </si>
  <si>
    <t>733</t>
  </si>
  <si>
    <t>733174211R00</t>
  </si>
  <si>
    <t>28600750.A</t>
  </si>
  <si>
    <t>733174212R00</t>
  </si>
  <si>
    <t>28600752.A</t>
  </si>
  <si>
    <t>733174213R00</t>
  </si>
  <si>
    <t>286007521</t>
  </si>
  <si>
    <t>733174214R00</t>
  </si>
  <si>
    <t>286007522</t>
  </si>
  <si>
    <t>733174215R00</t>
  </si>
  <si>
    <t>286007523</t>
  </si>
  <si>
    <t>998733201R00</t>
  </si>
  <si>
    <t>735</t>
  </si>
  <si>
    <t>735156666R00</t>
  </si>
  <si>
    <t>735156265R00</t>
  </si>
  <si>
    <t>735156267R00</t>
  </si>
  <si>
    <t>735156567R00</t>
  </si>
  <si>
    <t>735156565R00</t>
  </si>
  <si>
    <t>735156705R00</t>
  </si>
  <si>
    <t>735156504R00</t>
  </si>
  <si>
    <t>735171313R00</t>
  </si>
  <si>
    <t>735421800R00</t>
  </si>
  <si>
    <t>735421801R00</t>
  </si>
  <si>
    <t>736</t>
  </si>
  <si>
    <t>736322112R00</t>
  </si>
  <si>
    <t>736110004RT3</t>
  </si>
  <si>
    <t>732111125R00</t>
  </si>
  <si>
    <t>762</t>
  </si>
  <si>
    <t>762342812R00</t>
  </si>
  <si>
    <t>762333130RT2</t>
  </si>
  <si>
    <t>762000101VD</t>
  </si>
  <si>
    <t>764</t>
  </si>
  <si>
    <t>764900010RA0</t>
  </si>
  <si>
    <t>764352010RA0</t>
  </si>
  <si>
    <t>764551604R00</t>
  </si>
  <si>
    <t>764311300RAB</t>
  </si>
  <si>
    <t>992001020IM</t>
  </si>
  <si>
    <t>765</t>
  </si>
  <si>
    <t>765799310RK3</t>
  </si>
  <si>
    <t>766</t>
  </si>
  <si>
    <t>766620052RA1</t>
  </si>
  <si>
    <t>D11IM</t>
  </si>
  <si>
    <t>D12IM</t>
  </si>
  <si>
    <t>D13IM</t>
  </si>
  <si>
    <t>D14IM</t>
  </si>
  <si>
    <t>D15IM</t>
  </si>
  <si>
    <t>D16IM</t>
  </si>
  <si>
    <t>D17IM</t>
  </si>
  <si>
    <t>D21IM</t>
  </si>
  <si>
    <t>D22IM</t>
  </si>
  <si>
    <t>O11IM</t>
  </si>
  <si>
    <t>992001018IM</t>
  </si>
  <si>
    <t>O12IM</t>
  </si>
  <si>
    <t>O13IM</t>
  </si>
  <si>
    <t>O14IM</t>
  </si>
  <si>
    <t>O15IM</t>
  </si>
  <si>
    <t>O17IM</t>
  </si>
  <si>
    <t>O16IM</t>
  </si>
  <si>
    <t>O21IM</t>
  </si>
  <si>
    <t>O22IM</t>
  </si>
  <si>
    <t>771</t>
  </si>
  <si>
    <t>771212112R00</t>
  </si>
  <si>
    <t>771212113R00</t>
  </si>
  <si>
    <t>597643201R</t>
  </si>
  <si>
    <t>597623131R1</t>
  </si>
  <si>
    <t>775</t>
  </si>
  <si>
    <t>775542021R00</t>
  </si>
  <si>
    <t>775541400R00</t>
  </si>
  <si>
    <t>61193703R</t>
  </si>
  <si>
    <t>781</t>
  </si>
  <si>
    <t>781260111R00</t>
  </si>
  <si>
    <t>58384930</t>
  </si>
  <si>
    <t>781475112R00</t>
  </si>
  <si>
    <t>59781350</t>
  </si>
  <si>
    <t>784</t>
  </si>
  <si>
    <t>784191101R00</t>
  </si>
  <si>
    <t>784195222R00</t>
  </si>
  <si>
    <t>909      R00</t>
  </si>
  <si>
    <t>941955001R00</t>
  </si>
  <si>
    <t>941941041R00</t>
  </si>
  <si>
    <t>941941291R00</t>
  </si>
  <si>
    <t>941941831R00</t>
  </si>
  <si>
    <t>952902110R00</t>
  </si>
  <si>
    <t>952901111R00</t>
  </si>
  <si>
    <t>968095002R00</t>
  </si>
  <si>
    <t>962032641R00</t>
  </si>
  <si>
    <t>962023491R00</t>
  </si>
  <si>
    <t>965042141R00</t>
  </si>
  <si>
    <t>965041341RT1</t>
  </si>
  <si>
    <t>963031530R00</t>
  </si>
  <si>
    <t>978015231R00</t>
  </si>
  <si>
    <t>979094211R00</t>
  </si>
  <si>
    <t>979093111R00</t>
  </si>
  <si>
    <t>979990001R00</t>
  </si>
  <si>
    <t>979082111R00</t>
  </si>
  <si>
    <t>979082318R00</t>
  </si>
  <si>
    <t>978013191R00</t>
  </si>
  <si>
    <t>978011191R00</t>
  </si>
  <si>
    <t>999VD</t>
  </si>
  <si>
    <t>9990000001VD</t>
  </si>
  <si>
    <t>9990000002VD</t>
  </si>
  <si>
    <t>M21</t>
  </si>
  <si>
    <t>992001006IM</t>
  </si>
  <si>
    <t>992001012IM</t>
  </si>
  <si>
    <t>992001013IM</t>
  </si>
  <si>
    <t>992001014IM</t>
  </si>
  <si>
    <t>992001015IM</t>
  </si>
  <si>
    <t>992001016IM</t>
  </si>
  <si>
    <t>992001024IM</t>
  </si>
  <si>
    <t>Zkrácený popis / Varianta</t>
  </si>
  <si>
    <t>Rozměry</t>
  </si>
  <si>
    <t>Přípravné a přidružené práce</t>
  </si>
  <si>
    <t>Odstranění podkladu nad 50 m2,kam.drcené tl.15 cm</t>
  </si>
  <si>
    <t>10,93+2,47+14,69+11,98+16,81+11,43+6,61+11,41+13,01+63,92   1 NP</t>
  </si>
  <si>
    <t>Odkopávky a prokopávky</t>
  </si>
  <si>
    <t>Sejmutí ornice s přemístěním do 50 m</t>
  </si>
  <si>
    <t>250*0,15   </t>
  </si>
  <si>
    <t>Hloubené vykopávky</t>
  </si>
  <si>
    <t>Ruční výkop v hornině 4</t>
  </si>
  <si>
    <t>hloubka do 1 m, odvoz kolečkem do 20 m</t>
  </si>
  <si>
    <t>(8+2,6)*1*0,5   uvnitř budovy</t>
  </si>
  <si>
    <t>0,435*0,51*0,5   patka pro komín</t>
  </si>
  <si>
    <t>(5,8+2,1*2)*0,6   SO 02</t>
  </si>
  <si>
    <t>Konstrukce ze zemin</t>
  </si>
  <si>
    <t>Obsyp objektu bez prohození sypaniny</t>
  </si>
  <si>
    <t>6   </t>
  </si>
  <si>
    <t>Základy</t>
  </si>
  <si>
    <t>Železobeton zákl. desek z cem.portladských C 16/20</t>
  </si>
  <si>
    <t>(1,49+7,99+7,68+7,68+40,62)*0,15   S1</t>
  </si>
  <si>
    <t>(13,58+26,91+14,36+14,36+11,47)*0,15   S2</t>
  </si>
  <si>
    <t>(5,4+4,86)*0,15   S3</t>
  </si>
  <si>
    <t>11,5*0,15   přístavek</t>
  </si>
  <si>
    <t>Polštář základu ze štěrkopísku netříděného</t>
  </si>
  <si>
    <t>Výztuž základových desek ze svařovaných sítí</t>
  </si>
  <si>
    <t>průměr drátu  6,0, oka 150/150 mm KH20</t>
  </si>
  <si>
    <t>(1,49+7,99+7,68+7,68+40,62)*3,04/1000*1,05   S1</t>
  </si>
  <si>
    <t>(13,58+26,91+14,36+14,36+11,47)*3,04/1000*1,05   S2</t>
  </si>
  <si>
    <t>(5,4+4,86)*3,04/1000*1,05   S3</t>
  </si>
  <si>
    <t>11,5*3,04/1000*1,05   S3</t>
  </si>
  <si>
    <t>11,5*3,04/1000*1,05   přístavek</t>
  </si>
  <si>
    <t>Bednění stěn základových desek - zřízení</t>
  </si>
  <si>
    <t>10,8*0,3   přístavek</t>
  </si>
  <si>
    <t>Bednění stěn základových desek - odstranění</t>
  </si>
  <si>
    <t>Zdi podpěrné a volné</t>
  </si>
  <si>
    <t>Zdivo z tvárnic Ytong hladkých tl. 30 cm</t>
  </si>
  <si>
    <t>tvárnice Ytong Statik Plus, 499 x 249 x 300 mm</t>
  </si>
  <si>
    <t>(2,6*2+5)*2,75   </t>
  </si>
  <si>
    <t>-3,5*1,5   odpočet okno</t>
  </si>
  <si>
    <t>-1,0*2,1   odpočet dveře</t>
  </si>
  <si>
    <t>Zdivo z tvárnic Ytong hladkých tl. 20 cm</t>
  </si>
  <si>
    <t>tvárnice P 4 - 550, 599 x 249 x 200 mm</t>
  </si>
  <si>
    <t>(8+2,7)*2,6   1NP</t>
  </si>
  <si>
    <t>Zdivo z tvárnic Ytong Lambda YQ PDK tl. 450 mm</t>
  </si>
  <si>
    <t>5,6*2,25   2NP</t>
  </si>
  <si>
    <t>-1,25*2,26*2   odpočet dveří</t>
  </si>
  <si>
    <t>Osazení překladů prefa, otvor šířky do 105 cm</t>
  </si>
  <si>
    <t>včetně dodávky RZP 129 x 14 x 14</t>
  </si>
  <si>
    <t>Osazení překladů prefa, otvor šířky do 180 cm</t>
  </si>
  <si>
    <t>Dodatečné vlož.izolace podřez.stroj,fólie,do 450mm</t>
  </si>
  <si>
    <t>cihelné zdivo tloušťky 450 mm</t>
  </si>
  <si>
    <t>Dodatečné vlož.izolace podřez.stroj,fólie,do 900mm</t>
  </si>
  <si>
    <t>cihelné zdivo tloušťky 70 cm</t>
  </si>
  <si>
    <t>Dodatečné vlož.izolace podřez.stroj,fólie,do 300mm</t>
  </si>
  <si>
    <t>cihelné zdivo tloušťky 300 mm</t>
  </si>
  <si>
    <t>8,5+8,5+3+3   </t>
  </si>
  <si>
    <t>Dodatečné vlož.izolace podřez.stroj,fólie,do 600mm</t>
  </si>
  <si>
    <t>cihelné zdivo tloušťky 600 mm</t>
  </si>
  <si>
    <t>cihelné zdivo tloušťky 500 mm</t>
  </si>
  <si>
    <t>Komín Schiedel Multi, DN 200 mm, komínový plášť</t>
  </si>
  <si>
    <t>s obezděním nadstřešní části</t>
  </si>
  <si>
    <t>Vytvoření prostupů pl. do 0,10 m2 v nosných zdech</t>
  </si>
  <si>
    <t>0,6+0,6+0,45+3+0,3   kanalizace</t>
  </si>
  <si>
    <t>Uložení tvárnic ztraceného bednění, tl. 30 cm</t>
  </si>
  <si>
    <t>zalití tvárnic betonem C 20/25</t>
  </si>
  <si>
    <t>11*0,5+5*0,25   </t>
  </si>
  <si>
    <t>Stěny a příčky</t>
  </si>
  <si>
    <t>Příčky z desek Ytong tl. 15 cm</t>
  </si>
  <si>
    <t>   1NP</t>
  </si>
  <si>
    <t>4,17*2,6   </t>
  </si>
  <si>
    <t>   2NP</t>
  </si>
  <si>
    <t>(3,6+5,2)*2,645-0,9*2,0   </t>
  </si>
  <si>
    <t>(8,2+3,6)*2,645-2*0,9*2,0   </t>
  </si>
  <si>
    <t>(2,3+3,6)*2,645-0,8*2,0   </t>
  </si>
  <si>
    <t>0,575*2,645   </t>
  </si>
  <si>
    <t>Příčky z desek Ytong tl. 10 cm</t>
  </si>
  <si>
    <t>desky P 2 - 500, 599 x 249 x 100 mm</t>
  </si>
  <si>
    <t>(1,75+0,9+2,7)*2,6   1NP</t>
  </si>
  <si>
    <t>0,85*2,645   2NP</t>
  </si>
  <si>
    <t>Podhled podkroví z desek sádrokartonových</t>
  </si>
  <si>
    <t>ocelová nosná kce, deska protipož. 12,5 mm, vodor.</t>
  </si>
  <si>
    <t>   2 NP</t>
  </si>
  <si>
    <t>6,56*5,88   </t>
  </si>
  <si>
    <t>4,7*(8,2+7,9)   </t>
  </si>
  <si>
    <t>ocelová nosná kce, deska protipož. 12,5 mm, šikmý</t>
  </si>
  <si>
    <t>2,8*21,9   </t>
  </si>
  <si>
    <t>2,8*(8,2+7,9)   </t>
  </si>
  <si>
    <t>Stropy a stropní konstrukce (pro pozemní stavby)</t>
  </si>
  <si>
    <t>Demontáž trámového stropu</t>
  </si>
  <si>
    <t>včetně podhledu a podlahy z palubek - záklopu</t>
  </si>
  <si>
    <t>3,8*1,1   pro schodiště</t>
  </si>
  <si>
    <t>Osazení válcovaných nosníků ve stropech č. 14 - 22</t>
  </si>
  <si>
    <t>včetně dodávky profilu I č. 22</t>
  </si>
  <si>
    <t>2*3,9*31,1/1000   31,1 kg/m</t>
  </si>
  <si>
    <t>Ztužující věnec ŽB beton C 20/25, 30 x 20 cm</t>
  </si>
  <si>
    <t>bednění, výztuž 90 kg/m3</t>
  </si>
  <si>
    <t>10,8   přístavek</t>
  </si>
  <si>
    <t>Bednění ztužujících pásů a věnců - zřízení</t>
  </si>
  <si>
    <t>10,8*0,3   </t>
  </si>
  <si>
    <t>Bednění ztužujících pásů a věnců - odstranění</t>
  </si>
  <si>
    <t>Podhledy SDK, kovová.kce CD. 1x deska RB 12,5 mm</t>
  </si>
  <si>
    <t>11,5   1.00</t>
  </si>
  <si>
    <t>Omítky ze suchých směsí</t>
  </si>
  <si>
    <t>Penetrační nátěr stěn PROFI UNI Putzgrund</t>
  </si>
  <si>
    <t>598,352   rozpis viz. pol. 612475121R00</t>
  </si>
  <si>
    <t>Penetrační nátěr stropů PROFI Putzgrund</t>
  </si>
  <si>
    <t>152,888   rozpis viz. pol. 611475121R00</t>
  </si>
  <si>
    <t>Úprava povrchů vnitřní</t>
  </si>
  <si>
    <t>Omítka vnitřní stropů Hasit vápenocem. dvouvrstvá</t>
  </si>
  <si>
    <t>13,576+26,909+14,357+14,353+4,857+1,485+11,473+5,400+4,365+7,682+7,682+40,749   1NP</t>
  </si>
  <si>
    <t>   stropy (mimo podhled v zádveří, který je sádrokartonový)</t>
  </si>
  <si>
    <t>Omítka vnitřních stěn Hasit vápenocem. dvouvrstvá</t>
  </si>
  <si>
    <t>28,502+33,721+54,372+37,4+39,032+5,429+5,194+33,267+11,715+26,913+25,775+29,486+12,701+68,539   1NP</t>
  </si>
  <si>
    <t>95,157+4,611+26,893+28,636+31,009   2NP</t>
  </si>
  <si>
    <t>Úprava povrchů vnější</t>
  </si>
  <si>
    <t>Zateplovací systém Baumit, fasáda, EPS F tl.140 mm</t>
  </si>
  <si>
    <t>71,2-4,4-2,82*2-3,48-1,87   </t>
  </si>
  <si>
    <t>57,8-1,8*3-2,25*2+3,52   </t>
  </si>
  <si>
    <t>71,2-1,4*2-0,73-0,72*2   </t>
  </si>
  <si>
    <t>61,4-2,25   </t>
  </si>
  <si>
    <t>16,5-4,37   </t>
  </si>
  <si>
    <t>Podlahy a podlahové konstrukce</t>
  </si>
  <si>
    <t>Potěr Poriment PP-300, plocha do 500 m2, tl. 40 mm</t>
  </si>
  <si>
    <t>   pro tl. 50 mm</t>
  </si>
  <si>
    <t>54,28+7,3+14,16+14,16+18,65   2 NP</t>
  </si>
  <si>
    <t>   pro tl. 70 mm</t>
  </si>
  <si>
    <t>13,58+26,91+14,36+14,36+1,49+11,47+7,99+7,68+7,68+40,62   1 NP</t>
  </si>
  <si>
    <t>Potěr Poriment PP-300, do 500 m2, přípl. zkd 5 mm</t>
  </si>
  <si>
    <t>(54,28+7,3+14,16+14,16+18,65)*2   2 NP</t>
  </si>
  <si>
    <t>(13,58+26,91+14,36+14,36+1,49+11,47+7,99+7,68+7,68+40,62)*6   1 NP</t>
  </si>
  <si>
    <t>Potěr Anhyment AE 20, plocha do 100 m2, tl. 35 mm</t>
  </si>
  <si>
    <t>4,86+5,4   1 NP</t>
  </si>
  <si>
    <t>11,5   1 NP</t>
  </si>
  <si>
    <t>Potěr Anhyment AE 20, do 100 m2, přípl.zkd 5 mm</t>
  </si>
  <si>
    <t>   1 NP, celk. tl. 60 mm</t>
  </si>
  <si>
    <t>(4,86+5,4)*5   </t>
  </si>
  <si>
    <t>11,5*5   </t>
  </si>
  <si>
    <t>Izolace proti vodě</t>
  </si>
  <si>
    <t>Izolace proti vlhkosti vodorovná, fólií, volně</t>
  </si>
  <si>
    <t>včetně fólie PE Penefol 800, tl. 1,0 mm</t>
  </si>
  <si>
    <t>1,49+7,99+7,68+7,68+40,62   S1</t>
  </si>
  <si>
    <t>13,58+26,91+14,36+14,36+11,47   S2</t>
  </si>
  <si>
    <t>5,4+4,86   S3</t>
  </si>
  <si>
    <t>11,5   S1</t>
  </si>
  <si>
    <t>Izolace proti vlhk. vodorovná pásy přitavením</t>
  </si>
  <si>
    <t>včetně dod.Paraelast G S40 + Paraelast AL+V S35</t>
  </si>
  <si>
    <t>Izolace tepelné</t>
  </si>
  <si>
    <t>Odstranění tepelné izolace, škvára tl. do 5 cm</t>
  </si>
  <si>
    <t>183,62   podlaha 2NP</t>
  </si>
  <si>
    <t>Izolace podlah kročejová minerální Isover</t>
  </si>
  <si>
    <t>tloušťka 20 mm</t>
  </si>
  <si>
    <t>54,28+7,3+14,16+14,16+18,65+13,78   </t>
  </si>
  <si>
    <t>Izolace tepelná podlah na sucho, jednovrstvá</t>
  </si>
  <si>
    <t>včetně dodávky polystyren tl. 100 mm</t>
  </si>
  <si>
    <t>Montáž parozábrany krovů spodem s přelepením spojů</t>
  </si>
  <si>
    <t>Jutafol N 110 standard</t>
  </si>
  <si>
    <t>114,243   SDK vodorvná část</t>
  </si>
  <si>
    <t>106,400   SDK šikmá část</t>
  </si>
  <si>
    <t>včetně dodávky polystyren tl. 80 mm</t>
  </si>
  <si>
    <t>4,86+5,4   S3</t>
  </si>
  <si>
    <t>11,5   </t>
  </si>
  <si>
    <t>Vnitřní kanalizace</t>
  </si>
  <si>
    <t>Lapač střešních splavenin PP HL600, kloub</t>
  </si>
  <si>
    <t>zápachová klapka, koš na listí, DN 125</t>
  </si>
  <si>
    <t>4   </t>
  </si>
  <si>
    <t>1   </t>
  </si>
  <si>
    <t>Potrubí Geberit Silent PP připojovací, D 75 x 2,6</t>
  </si>
  <si>
    <t>22   </t>
  </si>
  <si>
    <t>Potrubí Geberit Silent PP připojovací, D 50 x 2,0</t>
  </si>
  <si>
    <t>5,5   </t>
  </si>
  <si>
    <t>Potrubí Geberit Silent PP připojovací, D 110 x 3,6</t>
  </si>
  <si>
    <t>12   </t>
  </si>
  <si>
    <t>Zkouška těsnosti kanalizace vodou DN 125</t>
  </si>
  <si>
    <t>22+5,5+12   </t>
  </si>
  <si>
    <t>Větrací potrubí kanalizace ukončeno 500 mm nad rovinou střechy</t>
  </si>
  <si>
    <t>Přesun hmot pro vnitřní kanalizaci, výšky do 6 m</t>
  </si>
  <si>
    <t>Vnitřní vodovod</t>
  </si>
  <si>
    <t>Montáž rozvodů z plastů lepených D 16 mm</t>
  </si>
  <si>
    <t>30   </t>
  </si>
  <si>
    <t>Trubka D16x2,2 (PN16) PP-R80  SDR 7,4 Instaplast</t>
  </si>
  <si>
    <t>;ztratné 3%; 0,9   </t>
  </si>
  <si>
    <t>Montáž rozvodů z plastů lepených D 20 mm</t>
  </si>
  <si>
    <t>30,5   </t>
  </si>
  <si>
    <t>Trubka D20x2,8 (PN16) PP-R80 SDR 7,4 Instaplast</t>
  </si>
  <si>
    <t>;ztratné 0%; 0   </t>
  </si>
  <si>
    <t>Montáž rozvodů z plastů lepených D 25 mm</t>
  </si>
  <si>
    <t>7,2   </t>
  </si>
  <si>
    <t>Trubka D25x3,5 (PN16) PP-R80 SDR 7,4 Instaplast</t>
  </si>
  <si>
    <t>;ztratné 3%; 0,216   </t>
  </si>
  <si>
    <t>Montáž rozvodů z plastů lepených D 32 mm</t>
  </si>
  <si>
    <t>16   </t>
  </si>
  <si>
    <t>Trubka D32x4,4 (PN16) PP-R80 SDR 7,4 Instaplast</t>
  </si>
  <si>
    <t>;ztratné 3%; 0,48   </t>
  </si>
  <si>
    <t>Montáž izolač.skruží na potrubí přímé DN 25,páska</t>
  </si>
  <si>
    <t>67,7   </t>
  </si>
  <si>
    <t>Izolace potrubí Mirelon PRO 18x6 mm šedočerná</t>
  </si>
  <si>
    <t>Izolace potrubí Mirelon PRO 22x6 mm šedočerná</t>
  </si>
  <si>
    <t>Izolace potrubí Mirelon PRO 28x6 mm šedočerná</t>
  </si>
  <si>
    <t>Montáž izolač.skruží na potrubí přímé DN 40,páska</t>
  </si>
  <si>
    <t>Izolace potrubí Mirelon PRO 35x6 mm šedočerná</t>
  </si>
  <si>
    <t>Zkouška tlaku potrubí přírub.nebo hrdlového DN 100</t>
  </si>
  <si>
    <t>83,7   </t>
  </si>
  <si>
    <t>Přesun hmot pro vnitřní vodovod, výšky do 6 m</t>
  </si>
  <si>
    <t>Zařizovací předměty</t>
  </si>
  <si>
    <t>Montáž klozetu závěsného</t>
  </si>
  <si>
    <t>3   </t>
  </si>
  <si>
    <t>Předstěnová instalace Geberit pro závěsné WC</t>
  </si>
  <si>
    <t>2   1 NP</t>
  </si>
  <si>
    <t>1   2 NP</t>
  </si>
  <si>
    <t>Klozet kombi OLYMP,nádrž s armat.odpad svislý,bílý</t>
  </si>
  <si>
    <t>Montáž umyvadel na konzoly</t>
  </si>
  <si>
    <t>Umyvadlo na šrouby OLYMP Deep 60 x 45 cm, bílé</t>
  </si>
  <si>
    <t>Vana ocelová se zápachovou uzávěrkou, dl. 1600 mm</t>
  </si>
  <si>
    <t>Montáž baterie vanové nástěnné G 1/2</t>
  </si>
  <si>
    <t>Montáž baterie umyv.a dřezové stojánkové</t>
  </si>
  <si>
    <t>Montáž baterií sprchových, nastavitelná výška</t>
  </si>
  <si>
    <t>Sprchová kabina, baterie, zápachová uzávěrka</t>
  </si>
  <si>
    <t>Uzávěrka zápachová umyvadlová T 1015,D 40</t>
  </si>
  <si>
    <t>Kotelny</t>
  </si>
  <si>
    <t>Montáž kotle ocel.teplov.,kapalina/plyn do 29 kW</t>
  </si>
  <si>
    <t>Automatický kotel na biomasu s automatickým zásobníkem o výkonu 30 kW</t>
  </si>
  <si>
    <t>Rozvod potrubí</t>
  </si>
  <si>
    <t>Montáž potr.plast.rovné polyf.svař.D 16mm,vytápění</t>
  </si>
  <si>
    <t>44,5   </t>
  </si>
  <si>
    <t>Trubka PEX-Al-PEX 16 x 2,0 mm R999 Giacomini</t>
  </si>
  <si>
    <t>;ztratné 3%; 1,335   </t>
  </si>
  <si>
    <t>Montáž potr.plast.rovné polyf.svař.D 20mm,vytápění</t>
  </si>
  <si>
    <t>40,5   </t>
  </si>
  <si>
    <t>Trubka PEX-Al-PEX 20 x 2,0 mm R999 Giacomini</t>
  </si>
  <si>
    <t>;ztratné 3%; 1,215   </t>
  </si>
  <si>
    <t>Montáž potr.plast.rovné polyf.svař.D 25mm,vytápění</t>
  </si>
  <si>
    <t>36   </t>
  </si>
  <si>
    <t>Trubka PEX-Al-PEX 26 x 3,0 mm R999 Giacomini</t>
  </si>
  <si>
    <t>;ztratné 3%; 1,08   </t>
  </si>
  <si>
    <t>Montáž potr.plast.rovné polyf.svař.D 32mm,vytápění</t>
  </si>
  <si>
    <t>51,5   </t>
  </si>
  <si>
    <t>Trubka PEX-Al-PEX 32 x 3,0 mm R999 Giacomini</t>
  </si>
  <si>
    <t>;ztratné 3%; 1,545   </t>
  </si>
  <si>
    <t>Montáž potr.plast.rovné polyf.svař.D 40mm,vytápění</t>
  </si>
  <si>
    <t>Trubka PEX-Al-PEX 40 x 3,5 mm R999 Giacomini</t>
  </si>
  <si>
    <t>;ztratné 3%; 0,66   </t>
  </si>
  <si>
    <t>Přesun hmot pro rozvody potrubí, výšky do 6 m</t>
  </si>
  <si>
    <t>Otopná tělesa</t>
  </si>
  <si>
    <t>Otopná tělesa panelová Radik Klasik 22  600/1000</t>
  </si>
  <si>
    <t>Otopná tělesa panelová Radik Klasik 11   600/ 900</t>
  </si>
  <si>
    <t>Otopná tělesa panelová Radik Klasik 11   600/1200</t>
  </si>
  <si>
    <t>Otopná tělesa panelová Radik Klasik 21  600/1200</t>
  </si>
  <si>
    <t>Otopná tělesa panelová Radik Klasik 21  600/ 900</t>
  </si>
  <si>
    <t>Otopná tělesa panelová Radik Klasik 33  300/ 900</t>
  </si>
  <si>
    <t>Otopná tělesa panelová Radik Klasik 21  300/ 800</t>
  </si>
  <si>
    <t>Těleso trub. Koralux Linear Classic KLC 1820.450</t>
  </si>
  <si>
    <t>KORAFLEX Optimal-V FVO 90x260x1000 - s ventilátorem</t>
  </si>
  <si>
    <t>KORAFLEX Optimal-V FVO 90x260x1200 - s ventilátorem</t>
  </si>
  <si>
    <t>Podlahové vytápění</t>
  </si>
  <si>
    <t>Systém. deska bez kroč. izolace Rehau Varionova</t>
  </si>
  <si>
    <t>4,86+5,4   </t>
  </si>
  <si>
    <t>Podlahové vytápění Giacomini</t>
  </si>
  <si>
    <t>na systémovou desku</t>
  </si>
  <si>
    <t>   1 NP</t>
  </si>
  <si>
    <t>2,3+2,06   </t>
  </si>
  <si>
    <t>9,4   </t>
  </si>
  <si>
    <t>Tělesa rozdělovačů a sběračů DN 80 dl 1m</t>
  </si>
  <si>
    <t>Konstrukce tesařské</t>
  </si>
  <si>
    <t>Demontáž laťování střech, rozteč latí do 50 cm</t>
  </si>
  <si>
    <t>4,6*6,1   </t>
  </si>
  <si>
    <t>Montáž vázaných krovů nepravidelných do 288 cm2</t>
  </si>
  <si>
    <t>včetně dodávky řeziva, vč. dodávky hranolů</t>
  </si>
  <si>
    <t>2,74*8   krokev 100/180</t>
  </si>
  <si>
    <t>5   pozednice 140/140</t>
  </si>
  <si>
    <t>5   vaznice 120/180</t>
  </si>
  <si>
    <t>5,76*8   krokev 120/180</t>
  </si>
  <si>
    <t>3,1*2   krokev 120/160</t>
  </si>
  <si>
    <t>5,6   pozednice 140/140</t>
  </si>
  <si>
    <t>5,6   vaznice 140/180</t>
  </si>
  <si>
    <t>1,7*6   sloupek 120/120</t>
  </si>
  <si>
    <t>2,27*3   sloupek 140/140</t>
  </si>
  <si>
    <t>0,85*2   pásek 100/120</t>
  </si>
  <si>
    <t>Ocelové táhlo v úrovni stropu zakotvené pomocí oc. ploten do stěny</t>
  </si>
  <si>
    <t>Konstrukce klempířské</t>
  </si>
  <si>
    <t>Demontáž krytiny střech</t>
  </si>
  <si>
    <t>7,4*23,4*2   </t>
  </si>
  <si>
    <t>Žlab z Pz plechu podokapní půlkruhový</t>
  </si>
  <si>
    <t>23,4+8,9+8,65   </t>
  </si>
  <si>
    <t>5,9+6,2   přístavek</t>
  </si>
  <si>
    <t>Svod z Ti Zn RHEINZINK, kruhový, D 120 mm</t>
  </si>
  <si>
    <t>3,9+3,1+3,1+3,9   </t>
  </si>
  <si>
    <t>5,7   přístavek</t>
  </si>
  <si>
    <t>Krytina střech z Al plechu</t>
  </si>
  <si>
    <t>sklon do 45°</t>
  </si>
  <si>
    <t>7,3*23,4   </t>
  </si>
  <si>
    <t>7,3*(8,9+8,65)   </t>
  </si>
  <si>
    <t>2,74*6,2   </t>
  </si>
  <si>
    <t>-8*0,66*1,18   odpočet střešní okna</t>
  </si>
  <si>
    <t>5,77*6,2   přístavek</t>
  </si>
  <si>
    <t>Odkouření kotle na biomasu - nová komínová tvarovka Schiedel UNI Plus 20 360/360, pr. 200 mm</t>
  </si>
  <si>
    <t>Krytina tvrdá</t>
  </si>
  <si>
    <t>Montáž fólie na krokve přibitím</t>
  </si>
  <si>
    <t>podstřešní difúzní fólie Jutafol D 110 standard</t>
  </si>
  <si>
    <t>5,77*6,2   </t>
  </si>
  <si>
    <t>-8*0,66*1,18   odpočet okna</t>
  </si>
  <si>
    <t>2,74*6,2   přístavek</t>
  </si>
  <si>
    <t>Konstrukce truhlářské</t>
  </si>
  <si>
    <t>Okno střešní Velux 66 x 118 cm</t>
  </si>
  <si>
    <t>Vstupní dveře plastové 1000/2070</t>
  </si>
  <si>
    <t>Vstupní dveře plastové 1000/2200</t>
  </si>
  <si>
    <t>Vnitřní dveře dřevěné 800/1970</t>
  </si>
  <si>
    <t>Vnitřní dveře dřevěné 800/1900</t>
  </si>
  <si>
    <t>Vnitřní dveře dřevěné 900/1900</t>
  </si>
  <si>
    <t>Vnitřní dveře dřevěné 700/1970</t>
  </si>
  <si>
    <t>Vstupní dveře plastové 2000/2200</t>
  </si>
  <si>
    <t>Okno plastové 3500/1250</t>
  </si>
  <si>
    <t>Dveře sbíjené z prken</t>
  </si>
  <si>
    <t>Okno plastové 1000/1400</t>
  </si>
  <si>
    <t>Okno plastové 850/850</t>
  </si>
  <si>
    <t>Okno plastové 730/1000</t>
  </si>
  <si>
    <t>Okno plastové francouzské 1480/2350</t>
  </si>
  <si>
    <t>Okno plastové francouzské 730/2350</t>
  </si>
  <si>
    <t>Okno plastové francouzské 1000/2350</t>
  </si>
  <si>
    <t>Okno plastové francouzské 1000/1800</t>
  </si>
  <si>
    <t>Okno plastové francouzské 1250/2260</t>
  </si>
  <si>
    <t>Podlahy z dlaždic</t>
  </si>
  <si>
    <t>Kladení dlažby keramické do TM, vel. do 200x200 mm</t>
  </si>
  <si>
    <t>1,49+7,99+7,68+7,68   S1</t>
  </si>
  <si>
    <t>7,3   S4</t>
  </si>
  <si>
    <t>Kladení dlažby keramické do TM, vel. do 400x400 mm</t>
  </si>
  <si>
    <t>40,62   1.13</t>
  </si>
  <si>
    <t>Dlaždice 30x30x1,0 cm</t>
  </si>
  <si>
    <t>40,16   </t>
  </si>
  <si>
    <t>;ztratné 3%; 1,2048   </t>
  </si>
  <si>
    <t>Dlaždice 20x20 tl. 10 mm</t>
  </si>
  <si>
    <t>53,9   </t>
  </si>
  <si>
    <t>;ztratné 3%; 1,617   </t>
  </si>
  <si>
    <t>Podlahy vlysové a parketové</t>
  </si>
  <si>
    <t>Podložka Mirelon 2 mm pod lamelové podlahy</t>
  </si>
  <si>
    <t>13,58+26,91+14,36+14,36+11,47   skladba S2</t>
  </si>
  <si>
    <t>54,28+14,16+14,16+18,65   skladba S5</t>
  </si>
  <si>
    <t>Položení podlah lamelových se zámkovým spojem</t>
  </si>
  <si>
    <t>Podlaha laminát. 10 mm</t>
  </si>
  <si>
    <t>181,93   </t>
  </si>
  <si>
    <t>;ztratné 3%; 5,4579   </t>
  </si>
  <si>
    <t>Obklady (keramické)</t>
  </si>
  <si>
    <t>Obkládání stěn obkl. kamenin. vel. 333x164x22 mm</t>
  </si>
  <si>
    <t>1,14+2,18+3,1   JV</t>
  </si>
  <si>
    <t>0,9+8,2   SV</t>
  </si>
  <si>
    <t>10   SZ</t>
  </si>
  <si>
    <t>Obklad kámen, pro sokl, šedá barva</t>
  </si>
  <si>
    <t>25,52   </t>
  </si>
  <si>
    <t>;ztratné 3%; 0,7656   </t>
  </si>
  <si>
    <t>Obklad vnitřní stěn keramický, do tmele, 15x15 cm</t>
  </si>
  <si>
    <t>20,029+6,450+14,400   1NP</t>
  </si>
  <si>
    <t>19,44   2NP</t>
  </si>
  <si>
    <t>Obkládačka 15x15 světle béžová mat</t>
  </si>
  <si>
    <t>;ztratné 3%; 1,80957   </t>
  </si>
  <si>
    <t>Malby</t>
  </si>
  <si>
    <t>Penetrace podkladu univerzální Primalex 1x</t>
  </si>
  <si>
    <t>28,502+33,721+54,372+37,4+39,032+5,429+5,194+33,267+11,715+26,913+25,775+29,486+12,701+68,539   1NP-stěny</t>
  </si>
  <si>
    <t>13,576+26,909+14,357+14,353+4,857+1,485+11,473+5,400+4,365+7,682+7,682+40,749   1NP-strop</t>
  </si>
  <si>
    <t>Malba tekutá Primalex Plus, barva, 2 x</t>
  </si>
  <si>
    <t>11,5   SDK podhled 1NP</t>
  </si>
  <si>
    <t>6,56*5,88   SDK 2NP - vodorovná</t>
  </si>
  <si>
    <t>4,7*(8,2+7,9)   SDK 2NP - vodorovná</t>
  </si>
  <si>
    <t>2,8*21,9   SDK 2NP - šikmá</t>
  </si>
  <si>
    <t>2,8*(8,2+7,9)   SDK 2NP - šikmá</t>
  </si>
  <si>
    <t>Hodinové zúčtovací sazby (HZS)</t>
  </si>
  <si>
    <t>Hzs-nezmeritelne stavebni prace</t>
  </si>
  <si>
    <t>Lešení a stavební výtahy</t>
  </si>
  <si>
    <t>Lešení lehké pomocné, výška podlahy do 1,2 m</t>
  </si>
  <si>
    <t>5,32   </t>
  </si>
  <si>
    <t>13,58+26,91+14,36+14,36+4,86+1,49+11,47+5,4   </t>
  </si>
  <si>
    <t>5,55   </t>
  </si>
  <si>
    <t>7,99+7,68+7,68+40,62   </t>
  </si>
  <si>
    <t>70,42   </t>
  </si>
  <si>
    <t>Montáž lešení leh.řad.s podlahami,š.1,2 m, H 10 m</t>
  </si>
  <si>
    <t>3,5+23+60,6+5+77+88   </t>
  </si>
  <si>
    <t>Příplatek za každý měsíc použití lešení k pol.1041(2 měsíce)</t>
  </si>
  <si>
    <t>257,1*2   </t>
  </si>
  <si>
    <t>Demontáž lešení leh.řad.s podlahami,š.1 m, H 10 m</t>
  </si>
  <si>
    <t>Různé dokončovací konstrukce a práce na pozemních stavbách</t>
  </si>
  <si>
    <t>Čištění zametáním v místnostech a chodbách,vytření a mytí podlah</t>
  </si>
  <si>
    <t>Vyčištění budov o výšce podlaží do 4 m</t>
  </si>
  <si>
    <t>Bourání konstrukcí</t>
  </si>
  <si>
    <t>Bourání parapetů dřevěných š. do 50 cm</t>
  </si>
  <si>
    <t>1,5+1+1+1+0,75   </t>
  </si>
  <si>
    <t>Bourání zdiva komínového z cihel na MC</t>
  </si>
  <si>
    <t>0,45*0,45*9,1*2   </t>
  </si>
  <si>
    <t>Bourání zdiva nadzákladového smíšeného na MC</t>
  </si>
  <si>
    <t>4,17*2,5*0,265   </t>
  </si>
  <si>
    <t>3,825*2,5*0,2   </t>
  </si>
  <si>
    <t>0,9*2*0,275   </t>
  </si>
  <si>
    <t>0,85*0,85*0,7   </t>
  </si>
  <si>
    <t>1*0,85*0,45*3   </t>
  </si>
  <si>
    <t>1,48*0,85*0,45   </t>
  </si>
  <si>
    <t>0,9*2*0,6   </t>
  </si>
  <si>
    <t>0,8*8*2*0,6   </t>
  </si>
  <si>
    <t>0,8*2*0,15   </t>
  </si>
  <si>
    <t>Bourání mazanin betonových tl. 10 cm, nad 4 m2</t>
  </si>
  <si>
    <t>10,93+2,47+14,69+11,98+16,81+11,43+6,61+11,41   1NP</t>
  </si>
  <si>
    <t>Bourání lehčených mazanin tl. 10 cm, nad 4 m2</t>
  </si>
  <si>
    <t>ručně, tl. mazaniny 5 - 8 cm</t>
  </si>
  <si>
    <t>183,76   podlaha 2NP</t>
  </si>
  <si>
    <t>Bourání cihel.kleneb na MVC, ocel.nosníky tl. 8 cm</t>
  </si>
  <si>
    <t>13,01+63,92   podlaha chlév</t>
  </si>
  <si>
    <t>Prorážení otvorů a ostatní bourací práce</t>
  </si>
  <si>
    <t>Otlučení omítek vnějších MVC v složit.1-4 do 20 %</t>
  </si>
  <si>
    <t>72,1-4,2-0,2-2,2*2-2,01-1,4   </t>
  </si>
  <si>
    <t>56,6-1,4*3   </t>
  </si>
  <si>
    <t>72,1-1,4*2-0,73*2-0,72*2   </t>
  </si>
  <si>
    <t>Nakládání nebo překládání vybourané suti</t>
  </si>
  <si>
    <t>Uložení suti na skládku bez zhutnění</t>
  </si>
  <si>
    <t>Poplatek za skládku stavební suti</t>
  </si>
  <si>
    <t>Vnitrostaveništní doprava suti do 10 m</t>
  </si>
  <si>
    <t>Vodorovná doprava suti a hmot po suchu do 6000 m</t>
  </si>
  <si>
    <t>Otlučení omítek vnitřních stěn v rozsahu do 100 %</t>
  </si>
  <si>
    <t>13+33,7219+54,372+26,558+28,19+18,308+5,014+33,267+9,8815+26,913+25,775+12,599+5,579+47,765   1NP</t>
  </si>
  <si>
    <t>17,297+7,679+2,623+10,360+11,342   2NP</t>
  </si>
  <si>
    <t>Otlučení omítek vnitřních vápenných stropů do 100%</t>
  </si>
  <si>
    <t>Ostatní práce</t>
  </si>
  <si>
    <t>Vybourání stávajícího schodiště</t>
  </si>
  <si>
    <t>Dodávka a montáž nového schodiště</t>
  </si>
  <si>
    <t>Elektromontáže</t>
  </si>
  <si>
    <t>Hromosvod, kompletní dodávka a montáž</t>
  </si>
  <si>
    <t>Ostatní položky práce</t>
  </si>
  <si>
    <t>Solární kolektor, vč. řídící jednotky, akumulační nádrže</t>
  </si>
  <si>
    <t>Rozvody kolektorového okruhu - teplá voda a cirkulace</t>
  </si>
  <si>
    <t>Rozvody kolektorového okruhu - studená voda</t>
  </si>
  <si>
    <t>Ocelové pozinkované zábradlí, výška 1000 mm, D+M</t>
  </si>
  <si>
    <t>Půdní stahovací schody JAP 400 LUSSO se zateplovací vložkou 600x700, D+M</t>
  </si>
  <si>
    <t>Vyplnění otvoru ve stropní konstrukci po stávajícím schodišti novými dřevěnými trámy, uloženými do oc. trámových botek na stávající dřevěné trámy stro</t>
  </si>
  <si>
    <t>MJ</t>
  </si>
  <si>
    <t>m2</t>
  </si>
  <si>
    <t>m3</t>
  </si>
  <si>
    <t>t</t>
  </si>
  <si>
    <t>kus</t>
  </si>
  <si>
    <t>m</t>
  </si>
  <si>
    <t>soubor</t>
  </si>
  <si>
    <t>ks</t>
  </si>
  <si>
    <t>%</t>
  </si>
  <si>
    <t>h</t>
  </si>
  <si>
    <t>kpl</t>
  </si>
  <si>
    <t>Množství</t>
  </si>
  <si>
    <t>Cena/MJ</t>
  </si>
  <si>
    <t>(Kč)</t>
  </si>
  <si>
    <t>Cenová</t>
  </si>
  <si>
    <t>soustava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</si>
  <si>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</si>
  <si>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</si>
  <si>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</si>
  <si>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</si>
  <si>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</si>
  <si>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</si>
  <si>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</si>
  <si>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</si>
  <si>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</si>
  <si>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</si>
  <si>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</si>
  <si>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</si>
  <si>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</si>
  <si>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17_</t>
  </si>
  <si>
    <t>27_</t>
  </si>
  <si>
    <t>31_</t>
  </si>
  <si>
    <t>34_</t>
  </si>
  <si>
    <t>41_</t>
  </si>
  <si>
    <t>60_</t>
  </si>
  <si>
    <t>61_</t>
  </si>
  <si>
    <t>62_</t>
  </si>
  <si>
    <t>63_</t>
  </si>
  <si>
    <t>711_</t>
  </si>
  <si>
    <t>713_</t>
  </si>
  <si>
    <t>721_</t>
  </si>
  <si>
    <t>722_</t>
  </si>
  <si>
    <t>725_</t>
  </si>
  <si>
    <t>731_</t>
  </si>
  <si>
    <t>733_</t>
  </si>
  <si>
    <t>735_</t>
  </si>
  <si>
    <t>736_</t>
  </si>
  <si>
    <t>762_</t>
  </si>
  <si>
    <t>764_</t>
  </si>
  <si>
    <t>765_</t>
  </si>
  <si>
    <t>766_</t>
  </si>
  <si>
    <t>771_</t>
  </si>
  <si>
    <t>775_</t>
  </si>
  <si>
    <t>781_</t>
  </si>
  <si>
    <t>784_</t>
  </si>
  <si>
    <t>90_</t>
  </si>
  <si>
    <t>94_</t>
  </si>
  <si>
    <t>95_</t>
  </si>
  <si>
    <t>96_</t>
  </si>
  <si>
    <t>97_</t>
  </si>
  <si>
    <t>999VD_</t>
  </si>
  <si>
    <t>M21_</t>
  </si>
  <si>
    <t>Z88888_</t>
  </si>
  <si>
    <t>SO 01_1_</t>
  </si>
  <si>
    <t>SO 01_2_</t>
  </si>
  <si>
    <t>SO 01_3_</t>
  </si>
  <si>
    <t>SO 01_4_</t>
  </si>
  <si>
    <t>SO 01_6_</t>
  </si>
  <si>
    <t>SO 01_71_</t>
  </si>
  <si>
    <t>SO 01_72_</t>
  </si>
  <si>
    <t>SO 01_73_</t>
  </si>
  <si>
    <t>SO 01_76_</t>
  </si>
  <si>
    <t>SO 01_77_</t>
  </si>
  <si>
    <t>SO 01_78_</t>
  </si>
  <si>
    <t>SO 01_9_</t>
  </si>
  <si>
    <t>SO 01_Z_</t>
  </si>
  <si>
    <t>SO 01_</t>
  </si>
  <si>
    <t>MAT</t>
  </si>
  <si>
    <t>WORK</t>
  </si>
  <si>
    <t>CELK</t>
  </si>
  <si>
    <t>ISWORK</t>
  </si>
  <si>
    <t>P</t>
  </si>
  <si>
    <t>M</t>
  </si>
  <si>
    <t>GROUPCODE</t>
  </si>
  <si>
    <t>Krycí list slepého rozpočtu (SO 03 - Zpevněné plochy)</t>
  </si>
  <si>
    <t>Slepý stavební rozpočet (SO 03 - Zpevněné plochy)</t>
  </si>
  <si>
    <t>591050020RAA</t>
  </si>
  <si>
    <t>Kryty pozemních komunikací, letišť a ploch dlážděných (předlažby)</t>
  </si>
  <si>
    <t>Komunikace z dlažby zámkové, podklad štěrkopísek</t>
  </si>
  <si>
    <t>dlažba přírodní tloušťka 8 cm</t>
  </si>
  <si>
    <t>51,97+74,87   stání pro OA</t>
  </si>
  <si>
    <t>59_</t>
  </si>
  <si>
    <t>SO 03_5_</t>
  </si>
  <si>
    <t>SO 03_</t>
  </si>
  <si>
    <t>Krycí list slepého rozpočtu (SO 04 - Splašková kanalizace)</t>
  </si>
  <si>
    <t>Slepý stavební rozpočet (SO 04 - Splašková kanalizace)</t>
  </si>
  <si>
    <t>831350111RA0</t>
  </si>
  <si>
    <t>831350113RAF</t>
  </si>
  <si>
    <t>894431221RA0</t>
  </si>
  <si>
    <t>992001004IM</t>
  </si>
  <si>
    <t>Potrubí z trub kameninových</t>
  </si>
  <si>
    <t>Kanalizační přípojka z trub PVC, D 125 mm</t>
  </si>
  <si>
    <t>26,5   </t>
  </si>
  <si>
    <t>Kanalizační přípojka z trub PVC, D 160 mm</t>
  </si>
  <si>
    <t>rýha šířky 0,9 m, hloubky 2,0 m</t>
  </si>
  <si>
    <t>5   </t>
  </si>
  <si>
    <t>Ostatní konstrukce a práce na trubním vedení</t>
  </si>
  <si>
    <t>Šachta, D 400 mm, dl.šach.roury 2,0 m, přímá</t>
  </si>
  <si>
    <t>Prefabrikovaná ŽB jímka 24 m3, kompletní dodávka a montáž, vč. zemních prací</t>
  </si>
  <si>
    <t>83_</t>
  </si>
  <si>
    <t>89_</t>
  </si>
  <si>
    <t>SO 04_8_</t>
  </si>
  <si>
    <t>SO 04_Z_</t>
  </si>
  <si>
    <t>SO 04_</t>
  </si>
  <si>
    <t>Krycí list slepého rozpočtu (SO 05 - Dešťová kanalizace)</t>
  </si>
  <si>
    <t>Slepý stavební rozpočet (SO 05 - Dešťová kanalizace)</t>
  </si>
  <si>
    <t>131201110R00</t>
  </si>
  <si>
    <t>457541111R00</t>
  </si>
  <si>
    <t>992001003IM</t>
  </si>
  <si>
    <t>992001005IM</t>
  </si>
  <si>
    <t>Hloubení nezapaž. jam hor.3 do 50 m3, STROJNĚ</t>
  </si>
  <si>
    <t>3*1,6   štěrkové vsakovací těleso</t>
  </si>
  <si>
    <t>Podkladní a vedlejší konstrukce (kromě vozovek a železničního svršku)</t>
  </si>
  <si>
    <t>Filtrační vrstvy z nezhutněné štěrkodrti 0-63 mm</t>
  </si>
  <si>
    <t>70   </t>
  </si>
  <si>
    <t>Venkovní filtrační šachta, kompletní dodávka a montáž, vč. zemních prací</t>
  </si>
  <si>
    <t>Prefabrikovaná akumulační PP nádrž 4 m3, kompletní dodávka a montáž, vč. zemních prací</t>
  </si>
  <si>
    <t>45_</t>
  </si>
  <si>
    <t>SO 05_1_</t>
  </si>
  <si>
    <t>SO 05_4_</t>
  </si>
  <si>
    <t>SO 05_8_</t>
  </si>
  <si>
    <t>SO 05_Z_</t>
  </si>
  <si>
    <t>SO 05_</t>
  </si>
  <si>
    <t>Krycí list slepého rozpočtu (SO 06 - Stávající zdroj pitné vody)</t>
  </si>
  <si>
    <t>Slepý stavební rozpočet (SO 06 - Stávající zdroj pitné vody)</t>
  </si>
  <si>
    <t>831230110RAT</t>
  </si>
  <si>
    <t>Vodovodní přípojka z trub polyetylénových D 32</t>
  </si>
  <si>
    <t>33,16   </t>
  </si>
  <si>
    <t>SO 06_8_</t>
  </si>
  <si>
    <t>SO 06_</t>
  </si>
  <si>
    <t>Krycí list slepého rozpočtu (SO 08 - Venkovní stolní tenis (sportoviště))</t>
  </si>
  <si>
    <t>Slepý stavební rozpočet (SO 08 - Venkovní stolní tenis (sportoviště))</t>
  </si>
  <si>
    <t>591100020RAA</t>
  </si>
  <si>
    <t>749200100</t>
  </si>
  <si>
    <t>Chodník z dlažby zámkové, podklad štěrkodrť</t>
  </si>
  <si>
    <t>dlažba přírodní tloušťka 6 cm</t>
  </si>
  <si>
    <t>5,74*4,35   sportoviště</t>
  </si>
  <si>
    <t>Stůl betonový pro stolní tenis, dodávka, osazení</t>
  </si>
  <si>
    <t>0</t>
  </si>
  <si>
    <t>Z99999_</t>
  </si>
  <si>
    <t>SO 08_5_</t>
  </si>
  <si>
    <t>SO 08_Z_</t>
  </si>
  <si>
    <t>SO 08_</t>
  </si>
  <si>
    <t>Slepý stavební rozpočet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</si>
  <si>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</si>
  <si>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</si>
  <si>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</si>
  <si>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</si>
  <si>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</si>
  <si>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</si>
  <si>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</si>
  <si>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</si>
  <si>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</si>
  <si>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</si>
  <si>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</si>
  <si>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</si>
  <si>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</si>
  <si>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Rekonstrukce RD na rekreační středisko</t>
  </si>
  <si>
    <t>22.01.2021</t>
  </si>
  <si>
    <t> </t>
  </si>
  <si>
    <t>Krycí list slepého rozpočtu (SO 07 - Elektromontáže)</t>
  </si>
  <si>
    <t>Slepý stavební rozpočet (SO 07 - Elektromontáže)</t>
  </si>
  <si>
    <t>X101</t>
  </si>
  <si>
    <t>X102</t>
  </si>
  <si>
    <t>X103</t>
  </si>
  <si>
    <t>Montáž rozvaděče skříň.,1 pole dělených</t>
  </si>
  <si>
    <t>Mtž skříní do zdiva beton KS III</t>
  </si>
  <si>
    <t>Rozvaděč elektroměrový plastový ER 212</t>
  </si>
  <si>
    <t>Skříň přípojková plastová SS 101 – PVS1S</t>
  </si>
  <si>
    <t>Jistič Modeion BD250-el.spouště SE-BD-0100-MTV8</t>
  </si>
  <si>
    <t>Vystrojení rozvaděče</t>
  </si>
  <si>
    <t>Kabel CYKY 750 V 3x1,5 mm2 uložený pod omítkou, včetně dodávky kabelu 3Bx1,5</t>
  </si>
  <si>
    <t>Kabel CYKY 750 V 3x2,5 mm2 uložený pod omítkou včetně dodávky kabelu 3Ax2,5</t>
  </si>
  <si>
    <t>Kabel CYKY 750 V 5x2,5 mm2 uložený pod omítkou včetně dodávky kabelu 5Cx2,5</t>
  </si>
  <si>
    <t>Mtž vypínač zap bezšroub 1pól</t>
  </si>
  <si>
    <t>Mtž vypínač zap bezšroub 2pól</t>
  </si>
  <si>
    <t>Vypínač velkoplošný zaoblený 3553-01289</t>
  </si>
  <si>
    <t>Přepínač velkoplošný zaoblený 3553-05289</t>
  </si>
  <si>
    <t xml:space="preserve">Strojek tlačítkového ovladače,řaz.1/0  </t>
  </si>
  <si>
    <t>Strojek přepín.dvojit.stříd.,řaz.6+6   3558-A52340</t>
  </si>
  <si>
    <t>Mtž.svítidlo, 2 x DZ 9/11 W</t>
  </si>
  <si>
    <t>Svítidlo stropní 2112405 +60 W+sklo</t>
  </si>
  <si>
    <t>Svítidlo nástěnné  5130201 +50 W</t>
  </si>
  <si>
    <t>Mtž zásuvka krabice šroub obyč 2P</t>
  </si>
  <si>
    <t>Zásuvka domovní nástěnná 16A,380V 3P+N+Z</t>
  </si>
  <si>
    <t>Zásuvka Tango 5518A-A2349</t>
  </si>
  <si>
    <t>Zásuvka dvojnásobná Tango 5512A-2349</t>
  </si>
  <si>
    <t>Zásuvka nástěnná IZG 1643 16 A 380 V horní přívod</t>
  </si>
  <si>
    <t>Rámeček pro spínače a zásuvky 3901A-B10</t>
  </si>
  <si>
    <t>Krabice odbočná  A 70 průměr 69 mm P 16- 4</t>
  </si>
  <si>
    <t>Zásuvka Tango datová 1x RJ45</t>
  </si>
  <si>
    <t>Anténní zásuvka Monte</t>
  </si>
  <si>
    <t>Kabel k internetu datový UTP CAT 5E 4x2xAWG24 Belden</t>
  </si>
  <si>
    <t>kompl.</t>
  </si>
  <si>
    <t>210.R1</t>
  </si>
  <si>
    <t>34536700R</t>
  </si>
  <si>
    <t>35811071R</t>
  </si>
  <si>
    <t>34551618R</t>
  </si>
  <si>
    <t>34551610R</t>
  </si>
  <si>
    <t>210111061.R00</t>
  </si>
  <si>
    <t>210.R2</t>
  </si>
  <si>
    <t>35711643.R</t>
  </si>
  <si>
    <t>35711715.R</t>
  </si>
  <si>
    <t>35822955.AR</t>
  </si>
  <si>
    <t>210.R3</t>
  </si>
  <si>
    <t>210800105.RT1</t>
  </si>
  <si>
    <t>210800106.RT1</t>
  </si>
  <si>
    <t>210800116.RT1</t>
  </si>
  <si>
    <t>210.R4</t>
  </si>
  <si>
    <t>210.R5</t>
  </si>
  <si>
    <t>34535540.R</t>
  </si>
  <si>
    <t>34535542.R</t>
  </si>
  <si>
    <t>34535435.R</t>
  </si>
  <si>
    <t>34535425.R</t>
  </si>
  <si>
    <t>210.R6</t>
  </si>
  <si>
    <t>210.R7</t>
  </si>
  <si>
    <t>X104</t>
  </si>
  <si>
    <t>X105</t>
  </si>
  <si>
    <t>X106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</si>
</sst>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 x14ac:knownFonts="1">
    <font>
      <sz val="10"/>
      <name val="Arial"/>
    </font>
    <font>
      <sz val="10"/>
      <color indexed="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i/>
      <sz val="8"/>
      <color indexed="8"/>
      <name val="Arial"/>
      <charset val="238"/>
    </font>
    <font>
      <b/>
      <sz val="11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4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b/>
      <sz val="10"/>
      <color indexed="54"/>
      <name val="Arial"/>
      <charset val="238"/>
    </font>
    <font>
      <b/>
      <sz val="10"/>
      <color indexed="56"/>
      <name val="Arial"/>
      <charset val="238"/>
    </font>
    <font>
      <i/>
      <sz val="10"/>
      <color indexed="58"/>
      <name val="Arial"/>
      <charset val="238"/>
    </font>
    <font>
      <i/>
      <sz val="10"/>
      <color indexed="63"/>
      <name val="Arial"/>
      <charset val="238"/>
    </font>
    <font>
      <i/>
      <sz val="10"/>
      <color indexed="59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57"/>
        <bgColor indexed="9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horizontal="right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13" xfId="0" applyNumberFormat="1" applyFont="1" applyFill="1" applyBorder="1" applyAlignment="1" applyProtection="1">
      <alignment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9" fillId="0" borderId="27" xfId="0" applyNumberFormat="1" applyFont="1" applyFill="1" applyBorder="1" applyAlignment="1" applyProtection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29" xfId="0" applyNumberFormat="1" applyFont="1" applyFill="1" applyBorder="1" applyAlignment="1" applyProtection="1">
      <alignment horizontal="right" vertical="center"/>
    </xf>
    <xf numFmtId="4" fontId="1" fillId="0" borderId="22" xfId="0" applyNumberFormat="1" applyFont="1" applyFill="1" applyBorder="1" applyAlignment="1" applyProtection="1">
      <alignment horizontal="right" vertical="center"/>
    </xf>
    <xf numFmtId="4" fontId="1" fillId="0" borderId="23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49" fontId="9" fillId="0" borderId="30" xfId="0" applyNumberFormat="1" applyFont="1" applyFill="1" applyBorder="1" applyAlignment="1" applyProtection="1">
      <alignment horizontal="left" vertical="center"/>
    </xf>
    <xf numFmtId="49" fontId="1" fillId="0" borderId="31" xfId="0" applyNumberFormat="1" applyFont="1" applyFill="1" applyBorder="1" applyAlignment="1" applyProtection="1">
      <alignment horizontal="left" vertical="center"/>
    </xf>
    <xf numFmtId="49" fontId="10" fillId="3" borderId="25" xfId="0" applyNumberFormat="1" applyFont="1" applyFill="1" applyBorder="1" applyAlignment="1" applyProtection="1">
      <alignment horizontal="left" vertical="center"/>
    </xf>
    <xf numFmtId="49" fontId="11" fillId="4" borderId="3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49" fontId="9" fillId="0" borderId="32" xfId="0" applyNumberFormat="1" applyFont="1" applyFill="1" applyBorder="1" applyAlignment="1" applyProtection="1">
      <alignment horizontal="left" vertical="center"/>
    </xf>
    <xf numFmtId="49" fontId="1" fillId="0" borderId="33" xfId="0" applyNumberFormat="1" applyFont="1" applyFill="1" applyBorder="1" applyAlignment="1" applyProtection="1">
      <alignment horizontal="left" vertical="center"/>
    </xf>
    <xf numFmtId="49" fontId="14" fillId="3" borderId="15" xfId="0" applyNumberFormat="1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right" vertical="top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49" fontId="10" fillId="3" borderId="15" xfId="0" applyNumberFormat="1" applyFont="1" applyFill="1" applyBorder="1" applyAlignment="1" applyProtection="1">
      <alignment horizontal="left" vertical="center"/>
    </xf>
    <xf numFmtId="49" fontId="11" fillId="4" borderId="0" xfId="0" applyNumberFormat="1" applyFont="1" applyFill="1" applyBorder="1" applyAlignment="1" applyProtection="1">
      <alignment horizontal="left" vertical="center"/>
    </xf>
    <xf numFmtId="49" fontId="9" fillId="0" borderId="32" xfId="0" applyNumberFormat="1" applyFont="1" applyFill="1" applyBorder="1" applyAlignment="1" applyProtection="1">
      <alignment horizontal="center" vertical="center"/>
    </xf>
    <xf numFmtId="49" fontId="9" fillId="0" borderId="34" xfId="0" applyNumberFormat="1" applyFont="1" applyFill="1" applyBorder="1" applyAlignment="1" applyProtection="1">
      <alignment horizontal="center" vertical="center"/>
    </xf>
    <xf numFmtId="49" fontId="9" fillId="0" borderId="33" xfId="0" applyNumberFormat="1" applyFont="1" applyFill="1" applyBorder="1" applyAlignment="1" applyProtection="1">
      <alignment horizontal="center" vertical="center"/>
    </xf>
    <xf numFmtId="49" fontId="9" fillId="0" borderId="35" xfId="0" applyNumberFormat="1" applyFont="1" applyFill="1" applyBorder="1" applyAlignment="1" applyProtection="1">
      <alignment horizontal="center" vertical="center"/>
    </xf>
    <xf numFmtId="49" fontId="14" fillId="3" borderId="29" xfId="0" applyNumberFormat="1" applyFont="1" applyFill="1" applyBorder="1" applyAlignment="1" applyProtection="1">
      <alignment horizontal="right" vertical="center"/>
    </xf>
    <xf numFmtId="49" fontId="15" fillId="4" borderId="22" xfId="0" applyNumberFormat="1" applyFont="1" applyFill="1" applyBorder="1" applyAlignment="1" applyProtection="1">
      <alignment horizontal="right" vertical="center"/>
    </xf>
    <xf numFmtId="49" fontId="12" fillId="0" borderId="22" xfId="0" applyNumberFormat="1" applyFont="1" applyFill="1" applyBorder="1" applyAlignment="1" applyProtection="1">
      <alignment horizontal="right" vertical="center"/>
    </xf>
    <xf numFmtId="49" fontId="13" fillId="0" borderId="22" xfId="0" applyNumberFormat="1" applyFont="1" applyFill="1" applyBorder="1" applyAlignment="1" applyProtection="1">
      <alignment horizontal="right" vertical="center"/>
    </xf>
    <xf numFmtId="49" fontId="12" fillId="0" borderId="23" xfId="0" applyNumberFormat="1" applyFont="1" applyFill="1" applyBorder="1" applyAlignment="1" applyProtection="1">
      <alignment horizontal="right" vertical="center"/>
    </xf>
    <xf numFmtId="49" fontId="15" fillId="4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4" fillId="3" borderId="15" xfId="0" applyNumberFormat="1" applyFont="1" applyFill="1" applyBorder="1" applyAlignment="1" applyProtection="1">
      <alignment horizontal="right" vertical="center"/>
    </xf>
    <xf numFmtId="4" fontId="15" fillId="4" borderId="0" xfId="0" applyNumberFormat="1" applyFont="1" applyFill="1" applyBorder="1" applyAlignment="1" applyProtection="1">
      <alignment horizontal="right" vertical="center"/>
    </xf>
    <xf numFmtId="0" fontId="1" fillId="0" borderId="23" xfId="0" applyNumberFormat="1" applyFont="1" applyFill="1" applyBorder="1" applyAlignment="1" applyProtection="1">
      <alignment vertic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23" xfId="0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 applyProtection="1">
      <alignment horizontal="right" vertical="center"/>
    </xf>
    <xf numFmtId="49" fontId="10" fillId="3" borderId="3" xfId="0" applyNumberFormat="1" applyFont="1" applyFill="1" applyBorder="1" applyAlignment="1" applyProtection="1">
      <alignment horizontal="left" vertical="center"/>
    </xf>
    <xf numFmtId="49" fontId="14" fillId="3" borderId="0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49" fontId="14" fillId="3" borderId="22" xfId="0" applyNumberFormat="1" applyFont="1" applyFill="1" applyBorder="1" applyAlignment="1" applyProtection="1">
      <alignment horizontal="right" vertical="center"/>
    </xf>
    <xf numFmtId="4" fontId="14" fillId="3" borderId="0" xfId="0" applyNumberFormat="1" applyFont="1" applyFill="1" applyBorder="1" applyAlignment="1" applyProtection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right" vertical="center"/>
    </xf>
    <xf numFmtId="164" fontId="13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64" fontId="17" fillId="0" borderId="1" xfId="0" applyNumberFormat="1" applyFont="1" applyFill="1" applyBorder="1" applyAlignment="1" applyProtection="1">
      <alignment horizontal="right" vertical="center"/>
    </xf>
    <xf numFmtId="164" fontId="12" fillId="0" borderId="1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left" vertical="center"/>
    </xf>
    <xf numFmtId="49" fontId="14" fillId="3" borderId="15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left" vertical="center"/>
    </xf>
    <xf numFmtId="0" fontId="1" fillId="0" borderId="22" xfId="0" applyNumberFormat="1" applyFont="1" applyFill="1" applyBorder="1" applyAlignment="1" applyProtection="1">
      <alignment horizontal="left" vertical="center"/>
    </xf>
    <xf numFmtId="49" fontId="1" fillId="0" borderId="2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center"/>
    </xf>
    <xf numFmtId="49" fontId="5" fillId="0" borderId="13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20" xfId="0" applyNumberFormat="1" applyFont="1" applyFill="1" applyBorder="1" applyAlignment="1" applyProtection="1">
      <alignment horizontal="left" vertical="center"/>
    </xf>
    <xf numFmtId="49" fontId="5" fillId="0" borderId="14" xfId="0" applyNumberFormat="1" applyFont="1" applyFill="1" applyBorder="1" applyAlignment="1" applyProtection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center"/>
    </xf>
    <xf numFmtId="0" fontId="5" fillId="0" borderId="2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9" fillId="0" borderId="10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0" fontId="9" fillId="0" borderId="26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5" fillId="4" borderId="0" xfId="0" applyNumberFormat="1" applyFont="1" applyFill="1" applyBorder="1" applyAlignment="1" applyProtection="1">
      <alignment horizontal="left" vertical="center"/>
    </xf>
    <xf numFmtId="0" fontId="15" fillId="4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22" xfId="0" applyNumberFormat="1" applyFont="1" applyFill="1" applyBorder="1" applyAlignment="1" applyProtection="1">
      <alignment horizontal="left" vertical="center"/>
    </xf>
    <xf numFmtId="49" fontId="9" fillId="0" borderId="25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left" vertical="center"/>
    </xf>
    <xf numFmtId="0" fontId="9" fillId="0" borderId="29" xfId="0" applyNumberFormat="1" applyFont="1" applyFill="1" applyBorder="1" applyAlignment="1" applyProtection="1">
      <alignment horizontal="left" vertical="center"/>
    </xf>
    <xf numFmtId="49" fontId="9" fillId="0" borderId="24" xfId="0" applyNumberFormat="1" applyFont="1" applyFill="1" applyBorder="1" applyAlignment="1" applyProtection="1">
      <alignment horizontal="left" vertical="center"/>
    </xf>
    <xf numFmtId="49" fontId="14" fillId="3" borderId="15" xfId="0" applyNumberFormat="1" applyFont="1" applyFill="1" applyBorder="1" applyAlignment="1" applyProtection="1">
      <alignment horizontal="left" vertical="center"/>
    </xf>
    <xf numFmtId="0" fontId="14" fillId="3" borderId="15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49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49" fontId="14" fillId="3" borderId="0" xfId="0" applyNumberFormat="1" applyFont="1" applyFill="1" applyBorder="1" applyAlignment="1" applyProtection="1">
      <alignment horizontal="left" vertical="center"/>
    </xf>
    <xf numFmtId="0" fontId="14" fillId="3" borderId="0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8000"/>
      <rgbColor rgb="00000000"/>
      <rgbColor rgb="000000FF"/>
      <rgbColor rgb="00800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3AD313AC-7D21-47DF-9554-2FEE452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5F2051F4-57B2-4944-BCCB-6D192FCA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85115CB8-EBE1-40BE-964A-029574E7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36B2025B-D6A7-4196-AA9E-650C1136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74A71-932C-4C79-99BF-65BF9D6F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CB3738-CE80-4EED-8EA1-B7A13938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3313" name="Picture 1">
          <a:extLst>
            <a:ext uri="{FF2B5EF4-FFF2-40B4-BE49-F238E27FC236}">
              <a16:creationId xmlns:a16="http://schemas.microsoft.com/office/drawing/2014/main" id="{7D463925-3FA7-4224-B603-61CBFE34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4337" name="Picture 1">
          <a:extLst>
            <a:ext uri="{FF2B5EF4-FFF2-40B4-BE49-F238E27FC236}">
              <a16:creationId xmlns:a16="http://schemas.microsoft.com/office/drawing/2014/main" id="{DE55F13B-1763-45E3-87FA-A8CE1F4B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5361" name="Picture 1">
          <a:extLst>
            <a:ext uri="{FF2B5EF4-FFF2-40B4-BE49-F238E27FC236}">
              <a16:creationId xmlns:a16="http://schemas.microsoft.com/office/drawing/2014/main" id="{222E4DA2-7AAD-40EA-B6BC-1F0D609C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C7840EE2-CEE9-467A-B48A-3112B215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BFE5116F-7681-4997-A063-855F639C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71B5B8A8-FF9E-4FB8-B49B-DC08D341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4856416F-D26A-4D17-A6B7-3288FA3C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AA31B5C4-71A6-4504-BCA3-7D416667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E6A40895-C31D-4155-B5DC-FB890C48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69631688-6AA8-4429-AA00-D29FA22D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5C6D77C4-3225-41CB-A717-03CC5C7C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>
      <selection activeCell="L14" sqref="L14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22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56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'Krycí list rozpočtu (SO 01)'!C14+'Krycí list rozpočtu (SO 03)'!C14+'Krycí list rozpočtu (SO 04)'!C14+'Krycí list rozpočtu (SO 05)'!C14+'Krycí list rozpočtu (SO 06)'!C14+'Krycí list rozpočtu (SO 08)'!C14+'Krycí list rozpočtu (SO 07)'!C14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'Krycí list rozpočtu (SO 01)'!C15+'Krycí list rozpočtu (SO 03)'!C15+'Krycí list rozpočtu (SO 04)'!C15+'Krycí list rozpočtu (SO 05)'!C15+'Krycí list rozpočtu (SO 06)'!C15+'Krycí list rozpočtu (SO 08)'!C15+'Krycí list rozpočtu (SO 07)'!C15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'Krycí list rozpočtu (SO 01)'!C16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'Krycí list rozpočtu (SO 01)'!C17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'Krycí list rozpočtu (SO 08)'!C20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'Krycí list rozpočtu (SO 01)'!C21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10"/>
      <c r="D23" s="115" t="s">
        <v>28</v>
      </c>
      <c r="E23" s="116"/>
      <c r="F23" s="12">
        <f>'Krycí list rozpočtu (SO 01)'!F22+'Krycí list rozpočtu (SO 03)'!F22+'Krycí list rozpočtu (SO 04)'!F22+'Krycí list rozpočtu (SO 05)'!F22+'Krycí list rozpočtu (SO 06)'!F22+'Krycí list rozpočtu (SO 08)'!F22</f>
        <v>0</v>
      </c>
      <c r="G23" s="115" t="s">
        <v>46</v>
      </c>
      <c r="H23" s="116"/>
      <c r="I23" s="12">
        <f>'Krycí list rozpočtu (SO 01)'!I22+'Krycí list rozpočtu (SO 03)'!I22+'Krycí list rozpočtu (SO 04)'!I22+'Krycí list rozpočtu (SO 05)'!I22+'Krycí list rozpočtu (SO 06)'!I22+'Krycí list rozpočtu (SO 08)'!I22</f>
        <v>0</v>
      </c>
      <c r="J23" s="17"/>
    </row>
    <row r="24" spans="1:10" ht="15.15" customHeight="1" x14ac:dyDescent="0.25">
      <c r="D24" s="5"/>
      <c r="E24" s="5"/>
      <c r="F24" s="10"/>
      <c r="G24" s="115" t="s">
        <v>47</v>
      </c>
      <c r="H24" s="116"/>
      <c r="I24" s="16"/>
    </row>
    <row r="25" spans="1:10" ht="15.15" customHeight="1" x14ac:dyDescent="0.25">
      <c r="F25" s="14"/>
      <c r="G25" s="115" t="s">
        <v>48</v>
      </c>
      <c r="H25" s="116"/>
      <c r="I25" s="12">
        <f>'Krycí list rozpočtu (SO 01)'!I23+'Krycí list rozpočtu (SO 03)'!I23+'Krycí list rozpočtu (SO 04)'!I23+'Krycí list rozpočtu (SO 05)'!I23+'Krycí list rozpočtu (SO 06)'!I23+'Krycí list rozpočtu (SO 08)'!I23</f>
        <v>0</v>
      </c>
      <c r="J25" s="17"/>
    </row>
    <row r="26" spans="1:10" x14ac:dyDescent="0.25">
      <c r="A26" s="1"/>
      <c r="B26" s="1"/>
      <c r="C26" s="1"/>
      <c r="G26" s="5"/>
      <c r="H26" s="5"/>
      <c r="I26" s="5"/>
    </row>
    <row r="27" spans="1:10" ht="15.15" customHeight="1" x14ac:dyDescent="0.25">
      <c r="A27" s="117" t="s">
        <v>13</v>
      </c>
      <c r="B27" s="118"/>
      <c r="C27" s="19">
        <f>ROUND(SUM('Stavební rozpočet'!AJ12:AJ552),1)</f>
        <v>0</v>
      </c>
      <c r="D27" s="11"/>
      <c r="E27" s="1"/>
      <c r="F27" s="1"/>
      <c r="G27" s="1"/>
      <c r="H27" s="1"/>
      <c r="I27" s="1"/>
    </row>
    <row r="28" spans="1:10" ht="15.15" customHeight="1" x14ac:dyDescent="0.25">
      <c r="A28" s="117" t="s">
        <v>14</v>
      </c>
      <c r="B28" s="118"/>
      <c r="C28" s="19">
        <f>ROUND(SUM('Stavební rozpočet'!AK12:AK552),1)</f>
        <v>0</v>
      </c>
      <c r="D28" s="117" t="s">
        <v>29</v>
      </c>
      <c r="E28" s="118"/>
      <c r="F28" s="19">
        <f>ROUND(C28*(15/100),2)</f>
        <v>0</v>
      </c>
      <c r="G28" s="117" t="s">
        <v>49</v>
      </c>
      <c r="H28" s="118"/>
      <c r="I28" s="19">
        <f>ROUND(SUM(C27:C29),1)</f>
        <v>0</v>
      </c>
      <c r="J28" s="17"/>
    </row>
    <row r="29" spans="1:10" ht="15.15" customHeight="1" x14ac:dyDescent="0.25">
      <c r="A29" s="117" t="s">
        <v>15</v>
      </c>
      <c r="B29" s="118"/>
      <c r="C29" s="19">
        <f>C22</f>
        <v>0</v>
      </c>
      <c r="D29" s="117" t="s">
        <v>30</v>
      </c>
      <c r="E29" s="118"/>
      <c r="F29" s="19">
        <f>ROUND(C29*(21/100),2)</f>
        <v>0</v>
      </c>
      <c r="G29" s="117" t="s">
        <v>50</v>
      </c>
      <c r="H29" s="118"/>
      <c r="I29" s="19">
        <f>ROUND(SUM(F28:F29)+I28,1)</f>
        <v>0</v>
      </c>
      <c r="J29" s="17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10" ht="14.4" customHeight="1" x14ac:dyDescent="0.25">
      <c r="A31" s="119" t="s">
        <v>16</v>
      </c>
      <c r="B31" s="120"/>
      <c r="C31" s="121"/>
      <c r="D31" s="119" t="s">
        <v>31</v>
      </c>
      <c r="E31" s="120"/>
      <c r="F31" s="121"/>
      <c r="G31" s="119" t="s">
        <v>51</v>
      </c>
      <c r="H31" s="120"/>
      <c r="I31" s="121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x14ac:dyDescent="0.25">
      <c r="A33" s="122"/>
      <c r="B33" s="123"/>
      <c r="C33" s="124"/>
      <c r="D33" s="122"/>
      <c r="E33" s="123"/>
      <c r="F33" s="124"/>
      <c r="G33" s="122"/>
      <c r="H33" s="123"/>
      <c r="I33" s="124"/>
      <c r="J33" s="18"/>
    </row>
    <row r="34" spans="1:10" ht="14.4" customHeight="1" x14ac:dyDescent="0.25">
      <c r="A34" s="122"/>
      <c r="B34" s="123"/>
      <c r="C34" s="124"/>
      <c r="D34" s="122"/>
      <c r="E34" s="123"/>
      <c r="F34" s="124"/>
      <c r="G34" s="122"/>
      <c r="H34" s="123"/>
      <c r="I34" s="124"/>
      <c r="J34" s="18"/>
    </row>
    <row r="35" spans="1:10" ht="14.4" customHeight="1" x14ac:dyDescent="0.25">
      <c r="A35" s="125" t="s">
        <v>17</v>
      </c>
      <c r="B35" s="126"/>
      <c r="C35" s="127"/>
      <c r="D35" s="125" t="s">
        <v>17</v>
      </c>
      <c r="E35" s="126"/>
      <c r="F35" s="127"/>
      <c r="G35" s="125" t="s">
        <v>17</v>
      </c>
      <c r="H35" s="126"/>
      <c r="I35" s="127"/>
      <c r="J35" s="18"/>
    </row>
    <row r="36" spans="1:10" ht="11.25" customHeight="1" x14ac:dyDescent="0.25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10" x14ac:dyDescent="0.25">
      <c r="A37" s="103"/>
      <c r="B37" s="94"/>
      <c r="C37" s="94"/>
      <c r="D37" s="94"/>
      <c r="E37" s="94"/>
      <c r="F37" s="94"/>
      <c r="G37" s="94"/>
      <c r="H37" s="94"/>
      <c r="I37" s="94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L28"/>
  <sheetViews>
    <sheetView workbookViewId="0">
      <pane ySplit="11" topLeftCell="A12" activePane="bottomLeft" state="frozenSplit"/>
      <selection pane="bottomLeft" activeCell="N19" sqref="N19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76.109375" customWidth="1"/>
    <col min="8" max="8" width="4.3320312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1005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tr">
        <f>'Stavební rozpočet'!C2</f>
        <v>Rekonstrukce RD na rekreační středisko</v>
      </c>
      <c r="D2" s="143" t="s">
        <v>66</v>
      </c>
      <c r="E2" s="92"/>
      <c r="F2" s="98" t="str">
        <f>'Stavební rozpočet'!F2</f>
        <v xml:space="preserve"> </v>
      </c>
      <c r="G2" s="98" t="s">
        <v>32</v>
      </c>
      <c r="H2" s="98" t="str">
        <f>'Stavební rozpočet'!H2</f>
        <v> </v>
      </c>
      <c r="I2" s="92"/>
      <c r="J2" s="92"/>
      <c r="K2" s="92"/>
      <c r="L2" s="129"/>
      <c r="M2" s="17"/>
    </row>
    <row r="3" spans="1:64" x14ac:dyDescent="0.25">
      <c r="A3" s="93"/>
      <c r="B3" s="94"/>
      <c r="C3" s="97"/>
      <c r="D3" s="94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tr">
        <f>'Stavební rozpočet'!C4</f>
        <v xml:space="preserve"> </v>
      </c>
      <c r="D4" s="106" t="s">
        <v>3</v>
      </c>
      <c r="E4" s="94"/>
      <c r="F4" s="103" t="str">
        <f>'Stavební rozpočet'!F4</f>
        <v>22.01.2021</v>
      </c>
      <c r="G4" s="103" t="s">
        <v>33</v>
      </c>
      <c r="H4" s="103" t="str">
        <f>'Stavební rozpočet'!H4</f>
        <v> </v>
      </c>
      <c r="I4" s="94"/>
      <c r="J4" s="94"/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tr">
        <f>'Stavební rozpočet'!C6</f>
        <v xml:space="preserve"> </v>
      </c>
      <c r="D6" s="106" t="s">
        <v>35</v>
      </c>
      <c r="E6" s="94"/>
      <c r="F6" s="103" t="str">
        <f>'Stavební rozpočet'!F6</f>
        <v xml:space="preserve"> </v>
      </c>
      <c r="G6" s="103" t="s">
        <v>34</v>
      </c>
      <c r="H6" s="103" t="str">
        <f>'Stavební rozpočet'!H6</f>
        <v> </v>
      </c>
      <c r="I6" s="94"/>
      <c r="J6" s="94"/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tr">
        <f>'Stavební rozpočet'!C8</f>
        <v xml:space="preserve"> </v>
      </c>
      <c r="D8" s="106" t="s">
        <v>67</v>
      </c>
      <c r="E8" s="94"/>
      <c r="F8" s="103" t="str">
        <f>'Stavební rozpočet'!F8</f>
        <v>22.01.2021</v>
      </c>
      <c r="G8" s="103" t="s">
        <v>36</v>
      </c>
      <c r="H8" s="103" t="str">
        <f>'Stavební rozpočet'!H8</f>
        <v> </v>
      </c>
      <c r="I8" s="94"/>
      <c r="J8" s="94"/>
      <c r="K8" s="94"/>
      <c r="L8" s="100"/>
      <c r="M8" s="17"/>
    </row>
    <row r="9" spans="1:64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 t="s">
        <v>904</v>
      </c>
      <c r="M10" s="18"/>
      <c r="BK10" s="56" t="s">
        <v>970</v>
      </c>
      <c r="BL10" s="62" t="s">
        <v>973</v>
      </c>
    </row>
    <row r="11" spans="1:64" x14ac:dyDescent="0.25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 t="s">
        <v>905</v>
      </c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39"/>
      <c r="C12" s="157" t="s">
        <v>63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K13+K16+K18+K21+K23</f>
        <v>0</v>
      </c>
      <c r="L12" s="51"/>
      <c r="M12" s="17"/>
    </row>
    <row r="13" spans="1:64" x14ac:dyDescent="0.25">
      <c r="A13" s="33"/>
      <c r="B13" s="40" t="s">
        <v>94</v>
      </c>
      <c r="C13" s="144" t="s">
        <v>470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SUM(K14:K14)</f>
        <v>0</v>
      </c>
      <c r="L13" s="52"/>
      <c r="M13" s="17"/>
      <c r="AI13" s="56" t="s">
        <v>75</v>
      </c>
      <c r="AS13" s="65">
        <f>SUM(AJ14:AJ14)</f>
        <v>0</v>
      </c>
      <c r="AT13" s="65">
        <f>SUM(AK14:AK14)</f>
        <v>0</v>
      </c>
      <c r="AU13" s="65">
        <f>SUM(AL14:AL14)</f>
        <v>0</v>
      </c>
    </row>
    <row r="14" spans="1:64" x14ac:dyDescent="0.25">
      <c r="A14" s="34" t="s">
        <v>82</v>
      </c>
      <c r="B14" s="41" t="s">
        <v>1006</v>
      </c>
      <c r="C14" s="146" t="s">
        <v>1010</v>
      </c>
      <c r="D14" s="147"/>
      <c r="E14" s="147"/>
      <c r="F14" s="147"/>
      <c r="G14" s="147"/>
      <c r="H14" s="41" t="s">
        <v>892</v>
      </c>
      <c r="I14" s="76">
        <f>'Stavební rozpočet'!I530</f>
        <v>4.8</v>
      </c>
      <c r="J14" s="60"/>
      <c r="K14" s="60">
        <f>I14*J14</f>
        <v>0</v>
      </c>
      <c r="L14" s="53" t="s">
        <v>906</v>
      </c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75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</f>
        <v>0</v>
      </c>
      <c r="AP14" s="28">
        <f>J14*(1-0)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918</v>
      </c>
      <c r="AZ14" s="59" t="s">
        <v>1018</v>
      </c>
      <c r="BA14" s="56" t="s">
        <v>1022</v>
      </c>
      <c r="BC14" s="28">
        <f>AW14+AX14</f>
        <v>0</v>
      </c>
      <c r="BD14" s="28">
        <f>J14/(100-BE14)*100</f>
        <v>0</v>
      </c>
      <c r="BE14" s="28">
        <v>0</v>
      </c>
      <c r="BF14" s="28">
        <f>14</f>
        <v>14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13</v>
      </c>
    </row>
    <row r="15" spans="1:64" x14ac:dyDescent="0.25">
      <c r="A15" s="17"/>
      <c r="C15" s="148" t="s">
        <v>1011</v>
      </c>
      <c r="D15" s="149"/>
      <c r="E15" s="149"/>
      <c r="F15" s="149"/>
      <c r="G15" s="149"/>
      <c r="I15" s="77">
        <v>4.8</v>
      </c>
      <c r="L15" s="14"/>
      <c r="M15" s="17"/>
    </row>
    <row r="16" spans="1:64" x14ac:dyDescent="0.25">
      <c r="A16" s="33"/>
      <c r="B16" s="40" t="s">
        <v>126</v>
      </c>
      <c r="C16" s="144" t="s">
        <v>1012</v>
      </c>
      <c r="D16" s="145"/>
      <c r="E16" s="145"/>
      <c r="F16" s="145"/>
      <c r="G16" s="145"/>
      <c r="H16" s="46" t="s">
        <v>58</v>
      </c>
      <c r="I16" s="46" t="s">
        <v>58</v>
      </c>
      <c r="J16" s="46" t="s">
        <v>58</v>
      </c>
      <c r="K16" s="65">
        <f>SUM(K17:K17)</f>
        <v>0</v>
      </c>
      <c r="L16" s="52"/>
      <c r="M16" s="17"/>
      <c r="AI16" s="56" t="s">
        <v>75</v>
      </c>
      <c r="AS16" s="65">
        <f>SUM(AJ17:AJ17)</f>
        <v>0</v>
      </c>
      <c r="AT16" s="65">
        <f>SUM(AK17:AK17)</f>
        <v>0</v>
      </c>
      <c r="AU16" s="65">
        <f>SUM(AL17:AL17)</f>
        <v>0</v>
      </c>
    </row>
    <row r="17" spans="1:64" x14ac:dyDescent="0.25">
      <c r="A17" s="34" t="s">
        <v>83</v>
      </c>
      <c r="B17" s="41" t="s">
        <v>1007</v>
      </c>
      <c r="C17" s="146" t="s">
        <v>1013</v>
      </c>
      <c r="D17" s="147"/>
      <c r="E17" s="147"/>
      <c r="F17" s="147"/>
      <c r="G17" s="147"/>
      <c r="H17" s="41" t="s">
        <v>892</v>
      </c>
      <c r="I17" s="76">
        <f>'Stavební rozpočet'!I533</f>
        <v>4</v>
      </c>
      <c r="J17" s="60"/>
      <c r="K17" s="60">
        <f>I17*J17</f>
        <v>0</v>
      </c>
      <c r="L17" s="53" t="s">
        <v>906</v>
      </c>
      <c r="M17" s="17"/>
      <c r="Z17" s="28">
        <f>IF(AQ17="5",BJ17,0)</f>
        <v>0</v>
      </c>
      <c r="AB17" s="28">
        <f>IF(AQ17="1",BH17,0)</f>
        <v>0</v>
      </c>
      <c r="AC17" s="28">
        <f>IF(AQ17="1",BI17,0)</f>
        <v>0</v>
      </c>
      <c r="AD17" s="28">
        <f>IF(AQ17="7",BH17,0)</f>
        <v>0</v>
      </c>
      <c r="AE17" s="28">
        <f>IF(AQ17="7",BI17,0)</f>
        <v>0</v>
      </c>
      <c r="AF17" s="28">
        <f>IF(AQ17="2",BH17,0)</f>
        <v>0</v>
      </c>
      <c r="AG17" s="28">
        <f>IF(AQ17="2",BI17,0)</f>
        <v>0</v>
      </c>
      <c r="AH17" s="28">
        <f>IF(AQ17="0",BJ17,0)</f>
        <v>0</v>
      </c>
      <c r="AI17" s="56" t="s">
        <v>75</v>
      </c>
      <c r="AJ17" s="60">
        <f>IF(AN17=0,K17,0)</f>
        <v>0</v>
      </c>
      <c r="AK17" s="60">
        <f>IF(AN17=15,K17,0)</f>
        <v>0</v>
      </c>
      <c r="AL17" s="60">
        <f>IF(AN17=21,K17,0)</f>
        <v>0</v>
      </c>
      <c r="AN17" s="28">
        <v>21</v>
      </c>
      <c r="AO17" s="28">
        <f>J17*0.914974554707379</f>
        <v>0</v>
      </c>
      <c r="AP17" s="28">
        <f>J17*(1-0.914974554707379)</f>
        <v>0</v>
      </c>
      <c r="AQ17" s="57" t="s">
        <v>82</v>
      </c>
      <c r="AV17" s="28">
        <f>AW17+AX17</f>
        <v>0</v>
      </c>
      <c r="AW17" s="28">
        <f>I17*AO17</f>
        <v>0</v>
      </c>
      <c r="AX17" s="28">
        <f>I17*AP17</f>
        <v>0</v>
      </c>
      <c r="AY17" s="59" t="s">
        <v>1017</v>
      </c>
      <c r="AZ17" s="59" t="s">
        <v>1019</v>
      </c>
      <c r="BA17" s="56" t="s">
        <v>1022</v>
      </c>
      <c r="BC17" s="28">
        <f>AW17+AX17</f>
        <v>0</v>
      </c>
      <c r="BD17" s="28">
        <f>J17/(100-BE17)*100</f>
        <v>0</v>
      </c>
      <c r="BE17" s="28">
        <v>0</v>
      </c>
      <c r="BF17" s="28">
        <f>17</f>
        <v>17</v>
      </c>
      <c r="BH17" s="60">
        <f>I17*AO17</f>
        <v>0</v>
      </c>
      <c r="BI17" s="60">
        <f>I17*AP17</f>
        <v>0</v>
      </c>
      <c r="BJ17" s="60">
        <f>I17*J17</f>
        <v>0</v>
      </c>
      <c r="BK17" s="60" t="s">
        <v>971</v>
      </c>
      <c r="BL17" s="28">
        <v>45</v>
      </c>
    </row>
    <row r="18" spans="1:64" x14ac:dyDescent="0.25">
      <c r="A18" s="33"/>
      <c r="B18" s="40" t="s">
        <v>164</v>
      </c>
      <c r="C18" s="144" t="s">
        <v>990</v>
      </c>
      <c r="D18" s="145"/>
      <c r="E18" s="145"/>
      <c r="F18" s="145"/>
      <c r="G18" s="145"/>
      <c r="H18" s="46" t="s">
        <v>58</v>
      </c>
      <c r="I18" s="46" t="s">
        <v>58</v>
      </c>
      <c r="J18" s="46" t="s">
        <v>58</v>
      </c>
      <c r="K18" s="65">
        <f>SUM(K19:K19)</f>
        <v>0</v>
      </c>
      <c r="L18" s="52"/>
      <c r="M18" s="17"/>
      <c r="AI18" s="56" t="s">
        <v>75</v>
      </c>
      <c r="AS18" s="65">
        <f>SUM(AJ19:AJ19)</f>
        <v>0</v>
      </c>
      <c r="AT18" s="65">
        <f>SUM(AK19:AK19)</f>
        <v>0</v>
      </c>
      <c r="AU18" s="65">
        <f>SUM(AL19:AL19)</f>
        <v>0</v>
      </c>
    </row>
    <row r="19" spans="1:64" x14ac:dyDescent="0.25">
      <c r="A19" s="34" t="s">
        <v>84</v>
      </c>
      <c r="B19" s="41" t="s">
        <v>986</v>
      </c>
      <c r="C19" s="146" t="s">
        <v>991</v>
      </c>
      <c r="D19" s="147"/>
      <c r="E19" s="147"/>
      <c r="F19" s="147"/>
      <c r="G19" s="147"/>
      <c r="H19" s="41" t="s">
        <v>895</v>
      </c>
      <c r="I19" s="76">
        <f>'Stavební rozpočet'!I535</f>
        <v>70</v>
      </c>
      <c r="J19" s="60"/>
      <c r="K19" s="60">
        <f>I19*J19</f>
        <v>0</v>
      </c>
      <c r="L19" s="53" t="s">
        <v>906</v>
      </c>
      <c r="M19" s="17"/>
      <c r="Z19" s="28">
        <f>IF(AQ19="5",BJ19,0)</f>
        <v>0</v>
      </c>
      <c r="AB19" s="28">
        <f>IF(AQ19="1",BH19,0)</f>
        <v>0</v>
      </c>
      <c r="AC19" s="28">
        <f>IF(AQ19="1",BI19,0)</f>
        <v>0</v>
      </c>
      <c r="AD19" s="28">
        <f>IF(AQ19="7",BH19,0)</f>
        <v>0</v>
      </c>
      <c r="AE19" s="28">
        <f>IF(AQ19="7",BI19,0)</f>
        <v>0</v>
      </c>
      <c r="AF19" s="28">
        <f>IF(AQ19="2",BH19,0)</f>
        <v>0</v>
      </c>
      <c r="AG19" s="28">
        <f>IF(AQ19="2",BI19,0)</f>
        <v>0</v>
      </c>
      <c r="AH19" s="28">
        <f>IF(AQ19="0",BJ19,0)</f>
        <v>0</v>
      </c>
      <c r="AI19" s="56" t="s">
        <v>75</v>
      </c>
      <c r="AJ19" s="60">
        <f>IF(AN19=0,K19,0)</f>
        <v>0</v>
      </c>
      <c r="AK19" s="60">
        <f>IF(AN19=15,K19,0)</f>
        <v>0</v>
      </c>
      <c r="AL19" s="60">
        <f>IF(AN19=21,K19,0)</f>
        <v>0</v>
      </c>
      <c r="AN19" s="28">
        <v>21</v>
      </c>
      <c r="AO19" s="28">
        <f>J19*0.288072646404744</f>
        <v>0</v>
      </c>
      <c r="AP19" s="28">
        <f>J19*(1-0.288072646404744)</f>
        <v>0</v>
      </c>
      <c r="AQ19" s="57" t="s">
        <v>82</v>
      </c>
      <c r="AV19" s="28">
        <f>AW19+AX19</f>
        <v>0</v>
      </c>
      <c r="AW19" s="28">
        <f>I19*AO19</f>
        <v>0</v>
      </c>
      <c r="AX19" s="28">
        <f>I19*AP19</f>
        <v>0</v>
      </c>
      <c r="AY19" s="59" t="s">
        <v>999</v>
      </c>
      <c r="AZ19" s="59" t="s">
        <v>1020</v>
      </c>
      <c r="BA19" s="56" t="s">
        <v>1022</v>
      </c>
      <c r="BC19" s="28">
        <f>AW19+AX19</f>
        <v>0</v>
      </c>
      <c r="BD19" s="28">
        <f>J19/(100-BE19)*100</f>
        <v>0</v>
      </c>
      <c r="BE19" s="28">
        <v>0</v>
      </c>
      <c r="BF19" s="28">
        <f>19</f>
        <v>19</v>
      </c>
      <c r="BH19" s="60">
        <f>I19*AO19</f>
        <v>0</v>
      </c>
      <c r="BI19" s="60">
        <f>I19*AP19</f>
        <v>0</v>
      </c>
      <c r="BJ19" s="60">
        <f>I19*J19</f>
        <v>0</v>
      </c>
      <c r="BK19" s="60" t="s">
        <v>971</v>
      </c>
      <c r="BL19" s="28">
        <v>83</v>
      </c>
    </row>
    <row r="20" spans="1:64" x14ac:dyDescent="0.25">
      <c r="A20" s="17"/>
      <c r="C20" s="148" t="s">
        <v>1014</v>
      </c>
      <c r="D20" s="149"/>
      <c r="E20" s="149"/>
      <c r="F20" s="149"/>
      <c r="G20" s="149"/>
      <c r="I20" s="77">
        <v>70</v>
      </c>
      <c r="L20" s="14"/>
      <c r="M20" s="17"/>
    </row>
    <row r="21" spans="1:64" x14ac:dyDescent="0.25">
      <c r="A21" s="33"/>
      <c r="B21" s="40" t="s">
        <v>170</v>
      </c>
      <c r="C21" s="144" t="s">
        <v>996</v>
      </c>
      <c r="D21" s="145"/>
      <c r="E21" s="145"/>
      <c r="F21" s="145"/>
      <c r="G21" s="145"/>
      <c r="H21" s="46" t="s">
        <v>58</v>
      </c>
      <c r="I21" s="46" t="s">
        <v>58</v>
      </c>
      <c r="J21" s="46" t="s">
        <v>58</v>
      </c>
      <c r="K21" s="65">
        <f>SUM(K22:K22)</f>
        <v>0</v>
      </c>
      <c r="L21" s="52"/>
      <c r="M21" s="17"/>
      <c r="AI21" s="56" t="s">
        <v>75</v>
      </c>
      <c r="AS21" s="65">
        <f>SUM(AJ22:AJ22)</f>
        <v>0</v>
      </c>
      <c r="AT21" s="65">
        <f>SUM(AK22:AK22)</f>
        <v>0</v>
      </c>
      <c r="AU21" s="65">
        <f>SUM(AL22:AL22)</f>
        <v>0</v>
      </c>
    </row>
    <row r="22" spans="1:64" x14ac:dyDescent="0.25">
      <c r="A22" s="34" t="s">
        <v>85</v>
      </c>
      <c r="B22" s="41" t="s">
        <v>988</v>
      </c>
      <c r="C22" s="146" t="s">
        <v>997</v>
      </c>
      <c r="D22" s="147"/>
      <c r="E22" s="147"/>
      <c r="F22" s="147"/>
      <c r="G22" s="147"/>
      <c r="H22" s="41" t="s">
        <v>894</v>
      </c>
      <c r="I22" s="76">
        <f>'Stavební rozpočet'!I538</f>
        <v>1</v>
      </c>
      <c r="J22" s="60"/>
      <c r="K22" s="60">
        <f>I22*J22</f>
        <v>0</v>
      </c>
      <c r="L22" s="53" t="s">
        <v>906</v>
      </c>
      <c r="M22" s="17"/>
      <c r="Z22" s="28">
        <f>IF(AQ22="5",BJ22,0)</f>
        <v>0</v>
      </c>
      <c r="AB22" s="28">
        <f>IF(AQ22="1",BH22,0)</f>
        <v>0</v>
      </c>
      <c r="AC22" s="28">
        <f>IF(AQ22="1",BI22,0)</f>
        <v>0</v>
      </c>
      <c r="AD22" s="28">
        <f>IF(AQ22="7",BH22,0)</f>
        <v>0</v>
      </c>
      <c r="AE22" s="28">
        <f>IF(AQ22="7",BI22,0)</f>
        <v>0</v>
      </c>
      <c r="AF22" s="28">
        <f>IF(AQ22="2",BH22,0)</f>
        <v>0</v>
      </c>
      <c r="AG22" s="28">
        <f>IF(AQ22="2",BI22,0)</f>
        <v>0</v>
      </c>
      <c r="AH22" s="28">
        <f>IF(AQ22="0",BJ22,0)</f>
        <v>0</v>
      </c>
      <c r="AI22" s="56" t="s">
        <v>75</v>
      </c>
      <c r="AJ22" s="60">
        <f>IF(AN22=0,K22,0)</f>
        <v>0</v>
      </c>
      <c r="AK22" s="60">
        <f>IF(AN22=15,K22,0)</f>
        <v>0</v>
      </c>
      <c r="AL22" s="60">
        <f>IF(AN22=21,K22,0)</f>
        <v>0</v>
      </c>
      <c r="AN22" s="28">
        <v>21</v>
      </c>
      <c r="AO22" s="28">
        <f>J22*0.887614830072091</f>
        <v>0</v>
      </c>
      <c r="AP22" s="28">
        <f>J22*(1-0.887614830072091)</f>
        <v>0</v>
      </c>
      <c r="AQ22" s="57" t="s">
        <v>82</v>
      </c>
      <c r="AV22" s="28">
        <f>AW22+AX22</f>
        <v>0</v>
      </c>
      <c r="AW22" s="28">
        <f>I22*AO22</f>
        <v>0</v>
      </c>
      <c r="AX22" s="28">
        <f>I22*AP22</f>
        <v>0</v>
      </c>
      <c r="AY22" s="59" t="s">
        <v>1000</v>
      </c>
      <c r="AZ22" s="59" t="s">
        <v>1020</v>
      </c>
      <c r="BA22" s="56" t="s">
        <v>1022</v>
      </c>
      <c r="BC22" s="28">
        <f>AW22+AX22</f>
        <v>0</v>
      </c>
      <c r="BD22" s="28">
        <f>J22/(100-BE22)*100</f>
        <v>0</v>
      </c>
      <c r="BE22" s="28">
        <v>0</v>
      </c>
      <c r="BF22" s="28">
        <f>22</f>
        <v>22</v>
      </c>
      <c r="BH22" s="60">
        <f>I22*AO22</f>
        <v>0</v>
      </c>
      <c r="BI22" s="60">
        <f>I22*AP22</f>
        <v>0</v>
      </c>
      <c r="BJ22" s="60">
        <f>I22*J22</f>
        <v>0</v>
      </c>
      <c r="BK22" s="60" t="s">
        <v>971</v>
      </c>
      <c r="BL22" s="28">
        <v>89</v>
      </c>
    </row>
    <row r="23" spans="1:64" x14ac:dyDescent="0.25">
      <c r="A23" s="33"/>
      <c r="B23" s="40"/>
      <c r="C23" s="144" t="s">
        <v>883</v>
      </c>
      <c r="D23" s="145"/>
      <c r="E23" s="145"/>
      <c r="F23" s="145"/>
      <c r="G23" s="145"/>
      <c r="H23" s="46" t="s">
        <v>58</v>
      </c>
      <c r="I23" s="46" t="s">
        <v>58</v>
      </c>
      <c r="J23" s="46" t="s">
        <v>58</v>
      </c>
      <c r="K23" s="65">
        <f>SUM(K24:K25)</f>
        <v>0</v>
      </c>
      <c r="L23" s="52"/>
      <c r="M23" s="17"/>
      <c r="AI23" s="56" t="s">
        <v>75</v>
      </c>
      <c r="AS23" s="65">
        <f>SUM(AJ24:AJ25)</f>
        <v>0</v>
      </c>
      <c r="AT23" s="65">
        <f>SUM(AK24:AK25)</f>
        <v>0</v>
      </c>
      <c r="AU23" s="65">
        <f>SUM(AL24:AL25)</f>
        <v>0</v>
      </c>
    </row>
    <row r="24" spans="1:64" x14ac:dyDescent="0.25">
      <c r="A24" s="34" t="s">
        <v>86</v>
      </c>
      <c r="B24" s="41" t="s">
        <v>1008</v>
      </c>
      <c r="C24" s="146" t="s">
        <v>1015</v>
      </c>
      <c r="D24" s="147"/>
      <c r="E24" s="147"/>
      <c r="F24" s="147"/>
      <c r="G24" s="147"/>
      <c r="H24" s="41" t="s">
        <v>897</v>
      </c>
      <c r="I24" s="76">
        <f>'Stavební rozpočet'!I540</f>
        <v>1</v>
      </c>
      <c r="J24" s="60"/>
      <c r="K24" s="60">
        <f>I24*J24</f>
        <v>0</v>
      </c>
      <c r="L24" s="53" t="s">
        <v>906</v>
      </c>
      <c r="M24" s="17"/>
      <c r="Z24" s="28">
        <f>IF(AQ24="5",BJ24,0)</f>
        <v>0</v>
      </c>
      <c r="AB24" s="28">
        <f>IF(AQ24="1",BH24,0)</f>
        <v>0</v>
      </c>
      <c r="AC24" s="28">
        <f>IF(AQ24="1",BI24,0)</f>
        <v>0</v>
      </c>
      <c r="AD24" s="28">
        <f>IF(AQ24="7",BH24,0)</f>
        <v>0</v>
      </c>
      <c r="AE24" s="28">
        <f>IF(AQ24="7",BI24,0)</f>
        <v>0</v>
      </c>
      <c r="AF24" s="28">
        <f>IF(AQ24="2",BH24,0)</f>
        <v>0</v>
      </c>
      <c r="AG24" s="28">
        <f>IF(AQ24="2",BI24,0)</f>
        <v>0</v>
      </c>
      <c r="AH24" s="28">
        <f>IF(AQ24="0",BJ24,0)</f>
        <v>0</v>
      </c>
      <c r="AI24" s="56" t="s">
        <v>75</v>
      </c>
      <c r="AJ24" s="60">
        <f>IF(AN24=0,K24,0)</f>
        <v>0</v>
      </c>
      <c r="AK24" s="60">
        <f>IF(AN24=15,K24,0)</f>
        <v>0</v>
      </c>
      <c r="AL24" s="60">
        <f>IF(AN24=21,K24,0)</f>
        <v>0</v>
      </c>
      <c r="AN24" s="28">
        <v>21</v>
      </c>
      <c r="AO24" s="28">
        <f>J24*1</f>
        <v>0</v>
      </c>
      <c r="AP24" s="28">
        <f>J24*(1-1)</f>
        <v>0</v>
      </c>
      <c r="AQ24" s="57" t="s">
        <v>82</v>
      </c>
      <c r="AV24" s="28">
        <f>AW24+AX24</f>
        <v>0</v>
      </c>
      <c r="AW24" s="28">
        <f>I24*AO24</f>
        <v>0</v>
      </c>
      <c r="AX24" s="28">
        <f>I24*AP24</f>
        <v>0</v>
      </c>
      <c r="AY24" s="59" t="s">
        <v>952</v>
      </c>
      <c r="AZ24" s="59" t="s">
        <v>1021</v>
      </c>
      <c r="BA24" s="56" t="s">
        <v>1022</v>
      </c>
      <c r="BC24" s="28">
        <f>AW24+AX24</f>
        <v>0</v>
      </c>
      <c r="BD24" s="28">
        <f>J24/(100-BE24)*100</f>
        <v>0</v>
      </c>
      <c r="BE24" s="28">
        <v>0</v>
      </c>
      <c r="BF24" s="28">
        <f>24</f>
        <v>24</v>
      </c>
      <c r="BH24" s="60">
        <f>I24*AO24</f>
        <v>0</v>
      </c>
      <c r="BI24" s="60">
        <f>I24*AP24</f>
        <v>0</v>
      </c>
      <c r="BJ24" s="60">
        <f>I24*J24</f>
        <v>0</v>
      </c>
      <c r="BK24" s="60" t="s">
        <v>971</v>
      </c>
      <c r="BL24" s="28"/>
    </row>
    <row r="25" spans="1:64" x14ac:dyDescent="0.25">
      <c r="A25" s="36" t="s">
        <v>87</v>
      </c>
      <c r="B25" s="44" t="s">
        <v>1009</v>
      </c>
      <c r="C25" s="161" t="s">
        <v>1016</v>
      </c>
      <c r="D25" s="162"/>
      <c r="E25" s="162"/>
      <c r="F25" s="162"/>
      <c r="G25" s="162"/>
      <c r="H25" s="44" t="s">
        <v>897</v>
      </c>
      <c r="I25" s="82">
        <f>'Stavební rozpočet'!I541</f>
        <v>1</v>
      </c>
      <c r="J25" s="63"/>
      <c r="K25" s="63">
        <f>I25*J25</f>
        <v>0</v>
      </c>
      <c r="L25" s="55" t="s">
        <v>906</v>
      </c>
      <c r="M25" s="17"/>
      <c r="Z25" s="28">
        <f>IF(AQ25="5",BJ25,0)</f>
        <v>0</v>
      </c>
      <c r="AB25" s="28">
        <f>IF(AQ25="1",BH25,0)</f>
        <v>0</v>
      </c>
      <c r="AC25" s="28">
        <f>IF(AQ25="1",BI25,0)</f>
        <v>0</v>
      </c>
      <c r="AD25" s="28">
        <f>IF(AQ25="7",BH25,0)</f>
        <v>0</v>
      </c>
      <c r="AE25" s="28">
        <f>IF(AQ25="7",BI25,0)</f>
        <v>0</v>
      </c>
      <c r="AF25" s="28">
        <f>IF(AQ25="2",BH25,0)</f>
        <v>0</v>
      </c>
      <c r="AG25" s="28">
        <f>IF(AQ25="2",BI25,0)</f>
        <v>0</v>
      </c>
      <c r="AH25" s="28">
        <f>IF(AQ25="0",BJ25,0)</f>
        <v>0</v>
      </c>
      <c r="AI25" s="56" t="s">
        <v>75</v>
      </c>
      <c r="AJ25" s="60">
        <f>IF(AN25=0,K25,0)</f>
        <v>0</v>
      </c>
      <c r="AK25" s="60">
        <f>IF(AN25=15,K25,0)</f>
        <v>0</v>
      </c>
      <c r="AL25" s="60">
        <f>IF(AN25=21,K25,0)</f>
        <v>0</v>
      </c>
      <c r="AN25" s="28">
        <v>21</v>
      </c>
      <c r="AO25" s="28">
        <f>J25*1</f>
        <v>0</v>
      </c>
      <c r="AP25" s="28">
        <f>J25*(1-1)</f>
        <v>0</v>
      </c>
      <c r="AQ25" s="57" t="s">
        <v>82</v>
      </c>
      <c r="AV25" s="28">
        <f>AW25+AX25</f>
        <v>0</v>
      </c>
      <c r="AW25" s="28">
        <f>I25*AO25</f>
        <v>0</v>
      </c>
      <c r="AX25" s="28">
        <f>I25*AP25</f>
        <v>0</v>
      </c>
      <c r="AY25" s="59" t="s">
        <v>952</v>
      </c>
      <c r="AZ25" s="59" t="s">
        <v>1021</v>
      </c>
      <c r="BA25" s="56" t="s">
        <v>1022</v>
      </c>
      <c r="BC25" s="28">
        <f>AW25+AX25</f>
        <v>0</v>
      </c>
      <c r="BD25" s="28">
        <f>J25/(100-BE25)*100</f>
        <v>0</v>
      </c>
      <c r="BE25" s="28">
        <v>0</v>
      </c>
      <c r="BF25" s="28">
        <f>25</f>
        <v>25</v>
      </c>
      <c r="BH25" s="60">
        <f>I25*AO25</f>
        <v>0</v>
      </c>
      <c r="BI25" s="60">
        <f>I25*AP25</f>
        <v>0</v>
      </c>
      <c r="BJ25" s="60">
        <f>I25*J25</f>
        <v>0</v>
      </c>
      <c r="BK25" s="60" t="s">
        <v>971</v>
      </c>
      <c r="BL25" s="28"/>
    </row>
    <row r="26" spans="1:6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27">
        <f>ROUND(K13+K16+K18+K21+K23,1)</f>
        <v>0</v>
      </c>
      <c r="L26" s="5"/>
    </row>
    <row r="27" spans="1:64" ht="11.25" customHeight="1" x14ac:dyDescent="0.25">
      <c r="A27" s="20" t="s">
        <v>18</v>
      </c>
    </row>
    <row r="28" spans="1:64" x14ac:dyDescent="0.25">
      <c r="A28" s="10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</sheetData>
  <mergeCells count="42">
    <mergeCell ref="C22:G22"/>
    <mergeCell ref="C23:G23"/>
    <mergeCell ref="C24:G24"/>
    <mergeCell ref="C25:G25"/>
    <mergeCell ref="A28:L28"/>
    <mergeCell ref="C21:G21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H8:L9"/>
    <mergeCell ref="A6:B7"/>
    <mergeCell ref="C6:C7"/>
    <mergeCell ref="D6:E7"/>
    <mergeCell ref="F6:F7"/>
    <mergeCell ref="G6:G7"/>
    <mergeCell ref="H6:L7"/>
    <mergeCell ref="A8:B9"/>
    <mergeCell ref="C8:C9"/>
    <mergeCell ref="D8:E9"/>
    <mergeCell ref="F8:F9"/>
    <mergeCell ref="G8:G9"/>
    <mergeCell ref="H4:L5"/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5"/>
  <sheetViews>
    <sheetView workbookViewId="0">
      <selection activeCell="I53" sqref="I53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1023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82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SUM('Stavební rozpočet (SO 06)'!AB12:AB552)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SUM('Stavební rozpočet (SO 06)'!AC12:AC552)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SUM('Stavební rozpočet (SO 06)'!AD12:AD552)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SUM('Stavební rozpočet (SO 06)'!AE12:AE552)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 (SO 06)'!AF12:AF552)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 (SO 06)'!AG12:AG552)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SUM('Stavební rozpočet (SO 06)'!AH12:AH552)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SUM('Stavební rozpočet (SO 06)'!Z12:Z552)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5"/>
      <c r="D23" s="5"/>
      <c r="E23" s="5"/>
      <c r="F23" s="10"/>
      <c r="G23" s="115" t="s">
        <v>47</v>
      </c>
      <c r="H23" s="116"/>
      <c r="I23" s="29"/>
    </row>
    <row r="24" spans="1:10" x14ac:dyDescent="0.25">
      <c r="A24" s="1"/>
      <c r="B24" s="1"/>
      <c r="C24" s="1"/>
      <c r="G24" s="5"/>
      <c r="H24" s="5"/>
    </row>
    <row r="25" spans="1:10" ht="15.15" customHeight="1" x14ac:dyDescent="0.25">
      <c r="A25" s="117" t="s">
        <v>13</v>
      </c>
      <c r="B25" s="118"/>
      <c r="C25" s="19">
        <f>ROUND(SUM('Stavební rozpočet (SO 06)'!AJ12:AJ552),1)</f>
        <v>0</v>
      </c>
      <c r="D25" s="11"/>
      <c r="E25" s="1"/>
      <c r="F25" s="1"/>
      <c r="G25" s="1"/>
      <c r="H25" s="1"/>
      <c r="I25" s="1"/>
    </row>
    <row r="26" spans="1:10" ht="15.15" customHeight="1" x14ac:dyDescent="0.25">
      <c r="A26" s="117" t="s">
        <v>14</v>
      </c>
      <c r="B26" s="118"/>
      <c r="C26" s="19">
        <f>ROUND(SUM('Stavební rozpočet (SO 06)'!AK12:AK552),1)</f>
        <v>0</v>
      </c>
      <c r="D26" s="117" t="s">
        <v>29</v>
      </c>
      <c r="E26" s="118"/>
      <c r="F26" s="19">
        <f>ROUND(C26*(15/100),2)</f>
        <v>0</v>
      </c>
      <c r="G26" s="117" t="s">
        <v>49</v>
      </c>
      <c r="H26" s="118"/>
      <c r="I26" s="19">
        <f>ROUND(SUM(C25:C27),1)</f>
        <v>0</v>
      </c>
      <c r="J26" s="17"/>
    </row>
    <row r="27" spans="1:10" ht="15.15" customHeight="1" x14ac:dyDescent="0.25">
      <c r="A27" s="117" t="s">
        <v>15</v>
      </c>
      <c r="B27" s="118"/>
      <c r="C27" s="19">
        <f>ROUND(SUM('Stavební rozpočet (SO 06)'!AL12:AL552)+(F22+I22+F23+I23+I24),1)</f>
        <v>0</v>
      </c>
      <c r="D27" s="117" t="s">
        <v>30</v>
      </c>
      <c r="E27" s="118"/>
      <c r="F27" s="19">
        <f>ROUND(C27*(21/100),2)</f>
        <v>0</v>
      </c>
      <c r="G27" s="117" t="s">
        <v>50</v>
      </c>
      <c r="H27" s="118"/>
      <c r="I27" s="19">
        <f>ROUND(SUM(F26:F27)+I26,1)</f>
        <v>0</v>
      </c>
      <c r="J27" s="17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10" ht="14.4" customHeight="1" x14ac:dyDescent="0.25">
      <c r="A29" s="119" t="s">
        <v>16</v>
      </c>
      <c r="B29" s="120"/>
      <c r="C29" s="121"/>
      <c r="D29" s="119" t="s">
        <v>31</v>
      </c>
      <c r="E29" s="120"/>
      <c r="F29" s="121"/>
      <c r="G29" s="119" t="s">
        <v>51</v>
      </c>
      <c r="H29" s="120"/>
      <c r="I29" s="121"/>
      <c r="J29" s="18"/>
    </row>
    <row r="30" spans="1:10" ht="14.4" customHeight="1" x14ac:dyDescent="0.25">
      <c r="A30" s="122"/>
      <c r="B30" s="123"/>
      <c r="C30" s="124"/>
      <c r="D30" s="122"/>
      <c r="E30" s="123"/>
      <c r="F30" s="124"/>
      <c r="G30" s="122"/>
      <c r="H30" s="123"/>
      <c r="I30" s="124"/>
      <c r="J30" s="18"/>
    </row>
    <row r="31" spans="1:10" ht="14.4" customHeight="1" x14ac:dyDescent="0.25">
      <c r="A31" s="122"/>
      <c r="B31" s="123"/>
      <c r="C31" s="124"/>
      <c r="D31" s="122"/>
      <c r="E31" s="123"/>
      <c r="F31" s="124"/>
      <c r="G31" s="122"/>
      <c r="H31" s="123"/>
      <c r="I31" s="124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x14ac:dyDescent="0.25">
      <c r="A33" s="125" t="s">
        <v>17</v>
      </c>
      <c r="B33" s="126"/>
      <c r="C33" s="127"/>
      <c r="D33" s="125" t="s">
        <v>17</v>
      </c>
      <c r="E33" s="126"/>
      <c r="F33" s="127"/>
      <c r="G33" s="125" t="s">
        <v>17</v>
      </c>
      <c r="H33" s="126"/>
      <c r="I33" s="127"/>
      <c r="J33" s="18"/>
    </row>
    <row r="34" spans="1:10" ht="11.25" customHeight="1" x14ac:dyDescent="0.25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10" x14ac:dyDescent="0.25">
      <c r="A35" s="103"/>
      <c r="B35" s="94"/>
      <c r="C35" s="94"/>
      <c r="D35" s="94"/>
      <c r="E35" s="94"/>
      <c r="F35" s="94"/>
      <c r="G35" s="94"/>
      <c r="H35" s="94"/>
      <c r="I35" s="94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L18"/>
  <sheetViews>
    <sheetView workbookViewId="0">
      <pane ySplit="11" topLeftCell="A12" activePane="bottomLeft" state="frozenSplit"/>
      <selection pane="bottomLeft" activeCell="K40" sqref="K40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39.6640625" customWidth="1"/>
    <col min="8" max="8" width="4.3320312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1024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143" t="s">
        <v>66</v>
      </c>
      <c r="F2" s="92"/>
      <c r="G2" s="98" t="str">
        <f>'Stavební rozpočet'!F2</f>
        <v xml:space="preserve"> </v>
      </c>
      <c r="H2" s="98" t="s">
        <v>32</v>
      </c>
      <c r="I2" s="92"/>
      <c r="J2" s="98" t="str">
        <f>'Stavební rozpočet'!H2</f>
        <v> </v>
      </c>
      <c r="K2" s="92"/>
      <c r="L2" s="129"/>
      <c r="M2" s="17"/>
    </row>
    <row r="3" spans="1:64" x14ac:dyDescent="0.25">
      <c r="A3" s="93"/>
      <c r="B3" s="94"/>
      <c r="C3" s="97"/>
      <c r="D3" s="97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tr">
        <f>'Stavební rozpočet'!C4</f>
        <v xml:space="preserve"> </v>
      </c>
      <c r="D4" s="94"/>
      <c r="E4" s="106" t="s">
        <v>3</v>
      </c>
      <c r="F4" s="94"/>
      <c r="G4" s="103" t="str">
        <f>'Stavební rozpočet'!F4</f>
        <v>22.01.2021</v>
      </c>
      <c r="H4" s="103" t="s">
        <v>33</v>
      </c>
      <c r="I4" s="94"/>
      <c r="J4" s="103" t="str">
        <f>'Stavební rozpočet'!H4</f>
        <v> </v>
      </c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tr">
        <f>'Stavební rozpočet'!C6</f>
        <v xml:space="preserve"> </v>
      </c>
      <c r="D6" s="94"/>
      <c r="E6" s="106" t="s">
        <v>35</v>
      </c>
      <c r="F6" s="94"/>
      <c r="G6" s="103" t="str">
        <f>'Stavební rozpočet'!F6</f>
        <v xml:space="preserve"> </v>
      </c>
      <c r="H6" s="103" t="s">
        <v>34</v>
      </c>
      <c r="I6" s="94"/>
      <c r="J6" s="103" t="str">
        <f>'Stavební rozpočet'!H6</f>
        <v> </v>
      </c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tr">
        <f>'Stavební rozpočet'!C8</f>
        <v xml:space="preserve"> </v>
      </c>
      <c r="D8" s="94"/>
      <c r="E8" s="106" t="s">
        <v>67</v>
      </c>
      <c r="F8" s="94"/>
      <c r="G8" s="103" t="str">
        <f>'Stavební rozpočet'!F8</f>
        <v>22.01.2021</v>
      </c>
      <c r="H8" s="103" t="s">
        <v>36</v>
      </c>
      <c r="I8" s="94"/>
      <c r="J8" s="103" t="str">
        <f>'Stavební rozpočet'!H8</f>
        <v> </v>
      </c>
      <c r="K8" s="94"/>
      <c r="L8" s="100"/>
      <c r="M8" s="17"/>
    </row>
    <row r="9" spans="1:64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 t="s">
        <v>904</v>
      </c>
      <c r="M10" s="18"/>
      <c r="BK10" s="56" t="s">
        <v>970</v>
      </c>
      <c r="BL10" s="62" t="s">
        <v>973</v>
      </c>
    </row>
    <row r="11" spans="1:64" x14ac:dyDescent="0.25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 t="s">
        <v>905</v>
      </c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39"/>
      <c r="C12" s="157" t="s">
        <v>64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</f>
        <v>0</v>
      </c>
      <c r="L12" s="51"/>
      <c r="M12" s="17"/>
    </row>
    <row r="13" spans="1:64" x14ac:dyDescent="0.25">
      <c r="A13" s="33"/>
      <c r="B13" s="40" t="s">
        <v>164</v>
      </c>
      <c r="C13" s="144" t="s">
        <v>990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SUM(K14:K14)</f>
        <v>0</v>
      </c>
      <c r="L13" s="52"/>
      <c r="M13" s="17"/>
      <c r="AI13" s="56" t="s">
        <v>76</v>
      </c>
      <c r="AS13" s="65">
        <f>SUM(AJ14:AJ14)</f>
        <v>0</v>
      </c>
      <c r="AT13" s="65">
        <f>SUM(AK14:AK14)</f>
        <v>0</v>
      </c>
      <c r="AU13" s="65">
        <f>SUM(AL14:AL14)</f>
        <v>0</v>
      </c>
    </row>
    <row r="14" spans="1:64" x14ac:dyDescent="0.25">
      <c r="A14" s="34" t="s">
        <v>82</v>
      </c>
      <c r="B14" s="41" t="s">
        <v>1025</v>
      </c>
      <c r="C14" s="146" t="s">
        <v>1026</v>
      </c>
      <c r="D14" s="147"/>
      <c r="E14" s="147"/>
      <c r="F14" s="147"/>
      <c r="G14" s="147"/>
      <c r="H14" s="41" t="s">
        <v>895</v>
      </c>
      <c r="I14" s="76">
        <f>'Stavební rozpočet'!I544</f>
        <v>33.159999999999997</v>
      </c>
      <c r="J14" s="60"/>
      <c r="K14" s="60">
        <f>I14*J14</f>
        <v>0</v>
      </c>
      <c r="L14" s="53" t="s">
        <v>906</v>
      </c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76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J14*0.4480313446782</f>
        <v>0</v>
      </c>
      <c r="AP14" s="28">
        <f>J14*(1-0.4480313446782)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999</v>
      </c>
      <c r="AZ14" s="59" t="s">
        <v>1028</v>
      </c>
      <c r="BA14" s="56" t="s">
        <v>1029</v>
      </c>
      <c r="BC14" s="28">
        <f>AW14+AX14</f>
        <v>0</v>
      </c>
      <c r="BD14" s="28">
        <f>J14/(100-BE14)*100</f>
        <v>0</v>
      </c>
      <c r="BE14" s="28">
        <v>0</v>
      </c>
      <c r="BF14" s="28">
        <f>14</f>
        <v>14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83</v>
      </c>
    </row>
    <row r="15" spans="1:64" x14ac:dyDescent="0.25">
      <c r="A15" s="11"/>
      <c r="B15" s="1"/>
      <c r="C15" s="163" t="s">
        <v>1027</v>
      </c>
      <c r="D15" s="164"/>
      <c r="E15" s="164"/>
      <c r="F15" s="164"/>
      <c r="G15" s="164"/>
      <c r="H15" s="1"/>
      <c r="I15" s="81">
        <v>33.159999999999997</v>
      </c>
      <c r="J15" s="1"/>
      <c r="K15" s="1"/>
      <c r="L15" s="66"/>
      <c r="M15" s="17"/>
    </row>
    <row r="16" spans="1:6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27">
        <f>ROUND(K13,1)</f>
        <v>0</v>
      </c>
      <c r="L16" s="5"/>
    </row>
    <row r="17" spans="1:12" ht="11.25" customHeight="1" x14ac:dyDescent="0.25">
      <c r="A17" s="20" t="s">
        <v>18</v>
      </c>
    </row>
    <row r="18" spans="1:12" x14ac:dyDescent="0.25">
      <c r="A18" s="10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</sheetData>
  <mergeCells count="32">
    <mergeCell ref="A18:L18"/>
    <mergeCell ref="C10:G10"/>
    <mergeCell ref="C11:G11"/>
    <mergeCell ref="C12:G12"/>
    <mergeCell ref="C13:G13"/>
    <mergeCell ref="C14:G14"/>
    <mergeCell ref="C15:G15"/>
    <mergeCell ref="J8:L9"/>
    <mergeCell ref="A6:B7"/>
    <mergeCell ref="C6:D7"/>
    <mergeCell ref="E6:F7"/>
    <mergeCell ref="G6:G7"/>
    <mergeCell ref="H6:I7"/>
    <mergeCell ref="J6:L7"/>
    <mergeCell ref="A8:B9"/>
    <mergeCell ref="C8:D9"/>
    <mergeCell ref="E8:F9"/>
    <mergeCell ref="G8:G9"/>
    <mergeCell ref="H8:I9"/>
    <mergeCell ref="J4:L5"/>
    <mergeCell ref="A1:L1"/>
    <mergeCell ref="A2:B3"/>
    <mergeCell ref="C2:D3"/>
    <mergeCell ref="E2:F3"/>
    <mergeCell ref="G2:G3"/>
    <mergeCell ref="H2:I3"/>
    <mergeCell ref="J2:L3"/>
    <mergeCell ref="A4:B5"/>
    <mergeCell ref="C4:D5"/>
    <mergeCell ref="E4:F5"/>
    <mergeCell ref="G4:G5"/>
    <mergeCell ref="H4:I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B245-6626-498B-8266-51DC7A2C7505}">
  <sheetPr>
    <pageSetUpPr fitToPage="1"/>
  </sheetPr>
  <dimension ref="A1:J35"/>
  <sheetViews>
    <sheetView workbookViewId="0">
      <selection activeCell="M9" sqref="M9:M10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1060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82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'Stavební rozpočet (SO 07)'!K16+'Stavební rozpočet (SO 07)'!K17+'Stavební rozpočet (SO 07)'!K18+'Stavební rozpočet (SO 07)'!K25+'Stavební rozpočet (SO 07)'!K26+'Stavební rozpočet (SO 07)'!K27+'Stavební rozpočet (SO 07)'!K28+'Stavební rozpočet (SO 07)'!K30+'Stavební rozpočet (SO 07)'!K31+'Stavební rozpočet (SO 07)'!K33+'Stavební rozpočet (SO 07)'!K34+'Stavební rozpočet (SO 07)'!K35+'Stavební rozpočet (SO 07)'!K36+'Stavební rozpočet (SO 07)'!K37+'Stavební rozpočet (SO 07)'!K38+'Stavební rozpočet (SO 07)'!K39+'Stavební rozpočet (SO 07)'!K40+'Stavební rozpočet (SO 07)'!K41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'Stavební rozpočet (SO 07)'!K14+'Stavební rozpočet (SO 07)'!K15+'Stavební rozpočet (SO 07)'!K19+'Stavební rozpočet (SO 07)'!K20+'Stavební rozpočet (SO 07)'!K21+'Stavební rozpočet (SO 07)'!K22+'Stavební rozpočet (SO 07)'!K23+'Stavební rozpočet (SO 07)'!K24+'Stavební rozpočet (SO 07)'!K29+'Stavební rozpočet (SO 07)'!K32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SUM('Stavební rozpočet (SO 06)'!AD12:AD552)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SUM('Stavební rozpočet (SO 06)'!AE12:AE552)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 (SO 06)'!AF12:AF552)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 (SO 06)'!AG12:AG552)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SUM('Stavební rozpočet (SO 06)'!AH12:AH552)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SUM('Stavební rozpočet (SO 06)'!Z12:Z552)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5"/>
      <c r="D23" s="5"/>
      <c r="E23" s="5"/>
      <c r="F23" s="10"/>
      <c r="G23" s="115" t="s">
        <v>47</v>
      </c>
      <c r="H23" s="116"/>
      <c r="I23" s="29"/>
    </row>
    <row r="24" spans="1:10" x14ac:dyDescent="0.25">
      <c r="A24" s="1"/>
      <c r="B24" s="1"/>
      <c r="C24" s="1"/>
      <c r="G24" s="5"/>
      <c r="H24" s="5"/>
    </row>
    <row r="25" spans="1:10" ht="15.15" customHeight="1" x14ac:dyDescent="0.25">
      <c r="A25" s="117" t="s">
        <v>13</v>
      </c>
      <c r="B25" s="118"/>
      <c r="C25" s="19">
        <f>ROUND(SUM('Stavební rozpočet (SO 06)'!AJ12:AJ552),1)</f>
        <v>0</v>
      </c>
      <c r="D25" s="11"/>
      <c r="E25" s="1"/>
      <c r="F25" s="1"/>
      <c r="G25" s="1"/>
      <c r="H25" s="1"/>
      <c r="I25" s="1"/>
    </row>
    <row r="26" spans="1:10" ht="15.15" customHeight="1" x14ac:dyDescent="0.25">
      <c r="A26" s="117" t="s">
        <v>14</v>
      </c>
      <c r="B26" s="118"/>
      <c r="C26" s="19">
        <f>ROUND(SUM('Stavební rozpočet (SO 06)'!AK12:AK552),1)</f>
        <v>0</v>
      </c>
      <c r="D26" s="117" t="s">
        <v>29</v>
      </c>
      <c r="E26" s="118"/>
      <c r="F26" s="19">
        <f>ROUND(C26*(15/100),2)</f>
        <v>0</v>
      </c>
      <c r="G26" s="117" t="s">
        <v>49</v>
      </c>
      <c r="H26" s="118"/>
      <c r="I26" s="19">
        <f>ROUND(SUM(C25:C27),1)</f>
        <v>0</v>
      </c>
      <c r="J26" s="17"/>
    </row>
    <row r="27" spans="1:10" ht="15.15" customHeight="1" x14ac:dyDescent="0.25">
      <c r="A27" s="117" t="s">
        <v>15</v>
      </c>
      <c r="B27" s="118"/>
      <c r="C27" s="19">
        <f>C22</f>
        <v>0</v>
      </c>
      <c r="D27" s="117" t="s">
        <v>30</v>
      </c>
      <c r="E27" s="118"/>
      <c r="F27" s="19">
        <f>ROUND(C27*(21/100),2)</f>
        <v>0</v>
      </c>
      <c r="G27" s="117" t="s">
        <v>50</v>
      </c>
      <c r="H27" s="118"/>
      <c r="I27" s="19">
        <f>ROUND(SUM(F26:F27)+I26,1)</f>
        <v>0</v>
      </c>
      <c r="J27" s="17"/>
    </row>
    <row r="28" spans="1:10" ht="13.8" thickBot="1" x14ac:dyDescent="0.3">
      <c r="A28" s="6"/>
      <c r="B28" s="6"/>
      <c r="C28" s="6"/>
      <c r="D28" s="6"/>
      <c r="E28" s="6"/>
      <c r="F28" s="6"/>
      <c r="G28" s="6"/>
      <c r="H28" s="6"/>
      <c r="I28" s="6"/>
    </row>
    <row r="29" spans="1:10" ht="14.4" customHeight="1" x14ac:dyDescent="0.25">
      <c r="A29" s="119" t="s">
        <v>16</v>
      </c>
      <c r="B29" s="120"/>
      <c r="C29" s="121"/>
      <c r="D29" s="119" t="s">
        <v>31</v>
      </c>
      <c r="E29" s="120"/>
      <c r="F29" s="121"/>
      <c r="G29" s="119" t="s">
        <v>51</v>
      </c>
      <c r="H29" s="120"/>
      <c r="I29" s="121"/>
      <c r="J29" s="18"/>
    </row>
    <row r="30" spans="1:10" ht="14.4" customHeight="1" x14ac:dyDescent="0.25">
      <c r="A30" s="122"/>
      <c r="B30" s="123"/>
      <c r="C30" s="124"/>
      <c r="D30" s="122"/>
      <c r="E30" s="123"/>
      <c r="F30" s="124"/>
      <c r="G30" s="122"/>
      <c r="H30" s="123"/>
      <c r="I30" s="124"/>
      <c r="J30" s="18"/>
    </row>
    <row r="31" spans="1:10" ht="14.4" customHeight="1" x14ac:dyDescent="0.25">
      <c r="A31" s="122"/>
      <c r="B31" s="123"/>
      <c r="C31" s="124"/>
      <c r="D31" s="122"/>
      <c r="E31" s="123"/>
      <c r="F31" s="124"/>
      <c r="G31" s="122"/>
      <c r="H31" s="123"/>
      <c r="I31" s="124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thickBot="1" x14ac:dyDescent="0.3">
      <c r="A33" s="125" t="s">
        <v>17</v>
      </c>
      <c r="B33" s="126"/>
      <c r="C33" s="127"/>
      <c r="D33" s="125" t="s">
        <v>17</v>
      </c>
      <c r="E33" s="126"/>
      <c r="F33" s="127"/>
      <c r="G33" s="125" t="s">
        <v>17</v>
      </c>
      <c r="H33" s="126"/>
      <c r="I33" s="127"/>
      <c r="J33" s="18"/>
    </row>
    <row r="34" spans="1:10" ht="11.25" customHeight="1" x14ac:dyDescent="0.25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10" x14ac:dyDescent="0.25">
      <c r="A35" s="103"/>
      <c r="B35" s="94"/>
      <c r="C35" s="94"/>
      <c r="D35" s="94"/>
      <c r="E35" s="94"/>
      <c r="F35" s="94"/>
      <c r="G35" s="94"/>
      <c r="H35" s="94"/>
      <c r="I35" s="94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7D36-89B3-4E27-8967-6B095301A47B}">
  <sheetPr>
    <pageSetUpPr fitToPage="1"/>
  </sheetPr>
  <dimension ref="A1:BL44"/>
  <sheetViews>
    <sheetView workbookViewId="0">
      <pane ySplit="11" topLeftCell="A33" activePane="bottomLeft" state="frozenSplit"/>
      <selection pane="bottomLeft" activeCell="H63" sqref="H63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76.109375" customWidth="1"/>
    <col min="8" max="8" width="6.10937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1061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tr">
        <f>'Stavební rozpočet'!C2</f>
        <v>Rekonstrukce RD na rekreační středisko</v>
      </c>
      <c r="D2" s="143" t="s">
        <v>66</v>
      </c>
      <c r="E2" s="92"/>
      <c r="F2" s="98" t="str">
        <f>'Stavební rozpočet'!F2</f>
        <v xml:space="preserve"> </v>
      </c>
      <c r="G2" s="98" t="s">
        <v>32</v>
      </c>
      <c r="H2" s="98" t="str">
        <f>'Stavební rozpočet'!H2</f>
        <v> </v>
      </c>
      <c r="I2" s="92"/>
      <c r="J2" s="92"/>
      <c r="K2" s="92"/>
      <c r="L2" s="129"/>
      <c r="M2" s="17"/>
    </row>
    <row r="3" spans="1:64" x14ac:dyDescent="0.25">
      <c r="A3" s="93"/>
      <c r="B3" s="94"/>
      <c r="C3" s="97"/>
      <c r="D3" s="94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tr">
        <f>'Stavební rozpočet'!C4</f>
        <v xml:space="preserve"> </v>
      </c>
      <c r="D4" s="106" t="s">
        <v>3</v>
      </c>
      <c r="E4" s="94"/>
      <c r="F4" s="103" t="str">
        <f>'Stavební rozpočet'!F4</f>
        <v>22.01.2021</v>
      </c>
      <c r="G4" s="103" t="s">
        <v>33</v>
      </c>
      <c r="H4" s="103" t="str">
        <f>'Stavební rozpočet'!H4</f>
        <v> </v>
      </c>
      <c r="I4" s="94"/>
      <c r="J4" s="94"/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tr">
        <f>'Stavební rozpočet'!C6</f>
        <v xml:space="preserve"> </v>
      </c>
      <c r="D6" s="106" t="s">
        <v>35</v>
      </c>
      <c r="E6" s="94"/>
      <c r="F6" s="103" t="str">
        <f>'Stavební rozpočet'!F6</f>
        <v xml:space="preserve"> </v>
      </c>
      <c r="G6" s="103" t="s">
        <v>34</v>
      </c>
      <c r="H6" s="103" t="str">
        <f>'Stavební rozpočet'!H6</f>
        <v> </v>
      </c>
      <c r="I6" s="94"/>
      <c r="J6" s="94"/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tr">
        <f>'Stavební rozpočet'!C8</f>
        <v xml:space="preserve"> </v>
      </c>
      <c r="D8" s="106" t="s">
        <v>67</v>
      </c>
      <c r="E8" s="94"/>
      <c r="F8" s="103" t="str">
        <f>'Stavební rozpočet'!F8</f>
        <v>22.01.2021</v>
      </c>
      <c r="G8" s="103" t="s">
        <v>36</v>
      </c>
      <c r="H8" s="103" t="str">
        <f>'Stavební rozpočet'!H8</f>
        <v> </v>
      </c>
      <c r="I8" s="94"/>
      <c r="J8" s="94"/>
      <c r="K8" s="94"/>
      <c r="L8" s="100"/>
      <c r="M8" s="17"/>
    </row>
    <row r="9" spans="1:64" ht="13.8" thickBot="1" x14ac:dyDescent="0.3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/>
      <c r="M10" s="18"/>
      <c r="BK10" s="56" t="s">
        <v>970</v>
      </c>
      <c r="BL10" s="62" t="s">
        <v>973</v>
      </c>
    </row>
    <row r="11" spans="1:64" ht="13.8" thickBot="1" x14ac:dyDescent="0.3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/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88"/>
      <c r="C12" s="157" t="s">
        <v>881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</f>
        <v>0</v>
      </c>
      <c r="L12" s="51"/>
      <c r="M12" s="17"/>
    </row>
    <row r="13" spans="1:64" x14ac:dyDescent="0.25">
      <c r="A13" s="33"/>
      <c r="B13" s="87" t="s">
        <v>454</v>
      </c>
      <c r="C13" s="144" t="s">
        <v>881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SUM(K14:K41)</f>
        <v>0</v>
      </c>
      <c r="L13" s="52"/>
      <c r="M13" s="17"/>
      <c r="AI13" s="56" t="s">
        <v>75</v>
      </c>
      <c r="AS13" s="65">
        <f>SUM(AJ41:AJ41)</f>
        <v>0</v>
      </c>
      <c r="AT13" s="65">
        <f>SUM(AK41:AK41)</f>
        <v>0</v>
      </c>
      <c r="AU13" s="65">
        <f>SUM(AL41:AL41)</f>
        <v>0</v>
      </c>
    </row>
    <row r="14" spans="1:64" x14ac:dyDescent="0.25">
      <c r="A14" s="34" t="s">
        <v>82</v>
      </c>
      <c r="B14" s="86" t="s">
        <v>1094</v>
      </c>
      <c r="C14" s="146" t="s">
        <v>1065</v>
      </c>
      <c r="D14" s="147"/>
      <c r="E14" s="147"/>
      <c r="F14" s="147"/>
      <c r="G14" s="147"/>
      <c r="H14" s="86" t="s">
        <v>897</v>
      </c>
      <c r="I14" s="76">
        <v>2</v>
      </c>
      <c r="J14" s="60"/>
      <c r="K14" s="60">
        <f>I14*J14</f>
        <v>0</v>
      </c>
      <c r="L14" s="53"/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75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J14*0.914974554707379</f>
        <v>0</v>
      </c>
      <c r="AP14" s="28">
        <f>J14*(1-0.914974554707379)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1017</v>
      </c>
      <c r="AZ14" s="59" t="s">
        <v>1019</v>
      </c>
      <c r="BA14" s="56" t="s">
        <v>1022</v>
      </c>
      <c r="BC14" s="28">
        <f>AW14+AX14</f>
        <v>0</v>
      </c>
      <c r="BD14" s="28">
        <f>J14/(100-BE14)*100</f>
        <v>0</v>
      </c>
      <c r="BE14" s="28">
        <v>0</v>
      </c>
      <c r="BF14" s="28">
        <f>17</f>
        <v>17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45</v>
      </c>
    </row>
    <row r="15" spans="1:64" x14ac:dyDescent="0.25">
      <c r="A15" s="34" t="s">
        <v>83</v>
      </c>
      <c r="B15" s="86" t="s">
        <v>1100</v>
      </c>
      <c r="C15" s="146" t="s">
        <v>1066</v>
      </c>
      <c r="D15" s="147"/>
      <c r="E15" s="147"/>
      <c r="F15" s="147"/>
      <c r="G15" s="147"/>
      <c r="H15" s="86" t="s">
        <v>891</v>
      </c>
      <c r="I15" s="76">
        <v>3</v>
      </c>
      <c r="J15" s="60"/>
      <c r="K15" s="60">
        <f t="shared" ref="K15:K32" si="0">I15*J15</f>
        <v>0</v>
      </c>
      <c r="L15" s="53"/>
      <c r="M15" s="17"/>
      <c r="Z15" s="28">
        <f t="shared" ref="Z15:Z32" si="1">IF(AQ15="5",BJ15,0)</f>
        <v>0</v>
      </c>
      <c r="AB15" s="28">
        <f t="shared" ref="AB15:AB32" si="2">IF(AQ15="1",BH15,0)</f>
        <v>0</v>
      </c>
      <c r="AC15" s="28">
        <f t="shared" ref="AC15:AC32" si="3">IF(AQ15="1",BI15,0)</f>
        <v>0</v>
      </c>
      <c r="AD15" s="28">
        <f t="shared" ref="AD15:AD32" si="4">IF(AQ15="7",BH15,0)</f>
        <v>0</v>
      </c>
      <c r="AE15" s="28">
        <f t="shared" ref="AE15:AE32" si="5">IF(AQ15="7",BI15,0)</f>
        <v>0</v>
      </c>
      <c r="AF15" s="28">
        <f t="shared" ref="AF15:AF32" si="6">IF(AQ15="2",BH15,0)</f>
        <v>0</v>
      </c>
      <c r="AG15" s="28">
        <f t="shared" ref="AG15:AG32" si="7">IF(AQ15="2",BI15,0)</f>
        <v>0</v>
      </c>
      <c r="AH15" s="28">
        <f t="shared" ref="AH15:AH32" si="8">IF(AQ15="0",BJ15,0)</f>
        <v>0</v>
      </c>
      <c r="AI15" s="56" t="s">
        <v>75</v>
      </c>
      <c r="AJ15" s="60">
        <f t="shared" ref="AJ15:AJ32" si="9">IF(AN15=0,K15,0)</f>
        <v>0</v>
      </c>
      <c r="AK15" s="60">
        <f t="shared" ref="AK15:AK32" si="10">IF(AN15=15,K15,0)</f>
        <v>0</v>
      </c>
      <c r="AL15" s="60">
        <f t="shared" ref="AL15:AL32" si="11">IF(AN15=21,K15,0)</f>
        <v>0</v>
      </c>
      <c r="AN15" s="28">
        <v>21</v>
      </c>
      <c r="AO15" s="28">
        <f t="shared" ref="AO15:AO32" si="12">J15*0.914974554707379</f>
        <v>0</v>
      </c>
      <c r="AP15" s="28">
        <f t="shared" ref="AP15:AP32" si="13">J15*(1-0.914974554707379)</f>
        <v>0</v>
      </c>
      <c r="AQ15" s="57" t="s">
        <v>82</v>
      </c>
      <c r="AV15" s="28">
        <f t="shared" ref="AV15:AV32" si="14">AW15+AX15</f>
        <v>0</v>
      </c>
      <c r="AW15" s="28">
        <f t="shared" ref="AW15:AW32" si="15">I15*AO15</f>
        <v>0</v>
      </c>
      <c r="AX15" s="28">
        <f t="shared" ref="AX15:AX32" si="16">I15*AP15</f>
        <v>0</v>
      </c>
      <c r="AY15" s="59" t="s">
        <v>1017</v>
      </c>
      <c r="AZ15" s="59" t="s">
        <v>1019</v>
      </c>
      <c r="BA15" s="56" t="s">
        <v>1022</v>
      </c>
      <c r="BC15" s="28">
        <f t="shared" ref="BC15:BC32" si="17">AW15+AX15</f>
        <v>0</v>
      </c>
      <c r="BD15" s="28">
        <f t="shared" ref="BD15:BD32" si="18">J15/(100-BE15)*100</f>
        <v>0</v>
      </c>
      <c r="BE15" s="28">
        <v>0</v>
      </c>
      <c r="BF15" s="28">
        <f>17</f>
        <v>17</v>
      </c>
      <c r="BH15" s="60">
        <f t="shared" ref="BH15:BH32" si="19">I15*AO15</f>
        <v>0</v>
      </c>
      <c r="BI15" s="60">
        <f t="shared" ref="BI15:BI32" si="20">I15*AP15</f>
        <v>0</v>
      </c>
      <c r="BJ15" s="60">
        <f t="shared" ref="BJ15:BJ32" si="21">I15*J15</f>
        <v>0</v>
      </c>
      <c r="BK15" s="60" t="s">
        <v>971</v>
      </c>
      <c r="BL15" s="28">
        <v>45</v>
      </c>
    </row>
    <row r="16" spans="1:64" x14ac:dyDescent="0.25">
      <c r="A16" s="34" t="s">
        <v>84</v>
      </c>
      <c r="B16" s="86" t="s">
        <v>1101</v>
      </c>
      <c r="C16" s="146" t="s">
        <v>1067</v>
      </c>
      <c r="D16" s="147"/>
      <c r="E16" s="147"/>
      <c r="F16" s="147"/>
      <c r="G16" s="147"/>
      <c r="H16" s="86" t="s">
        <v>897</v>
      </c>
      <c r="I16" s="76">
        <v>2</v>
      </c>
      <c r="J16" s="60"/>
      <c r="K16" s="60">
        <f t="shared" si="0"/>
        <v>0</v>
      </c>
      <c r="L16" s="53"/>
      <c r="M16" s="17"/>
      <c r="Z16" s="28">
        <f t="shared" si="1"/>
        <v>0</v>
      </c>
      <c r="AB16" s="28">
        <f t="shared" si="2"/>
        <v>0</v>
      </c>
      <c r="AC16" s="28">
        <f t="shared" si="3"/>
        <v>0</v>
      </c>
      <c r="AD16" s="28">
        <f t="shared" si="4"/>
        <v>0</v>
      </c>
      <c r="AE16" s="28">
        <f t="shared" si="5"/>
        <v>0</v>
      </c>
      <c r="AF16" s="28">
        <f t="shared" si="6"/>
        <v>0</v>
      </c>
      <c r="AG16" s="28">
        <f t="shared" si="7"/>
        <v>0</v>
      </c>
      <c r="AH16" s="28">
        <f t="shared" si="8"/>
        <v>0</v>
      </c>
      <c r="AI16" s="56" t="s">
        <v>75</v>
      </c>
      <c r="AJ16" s="60">
        <f t="shared" si="9"/>
        <v>0</v>
      </c>
      <c r="AK16" s="60">
        <f t="shared" si="10"/>
        <v>0</v>
      </c>
      <c r="AL16" s="60">
        <f t="shared" si="11"/>
        <v>0</v>
      </c>
      <c r="AN16" s="28">
        <v>21</v>
      </c>
      <c r="AO16" s="28">
        <f t="shared" si="12"/>
        <v>0</v>
      </c>
      <c r="AP16" s="28">
        <f t="shared" si="13"/>
        <v>0</v>
      </c>
      <c r="AQ16" s="57" t="s">
        <v>82</v>
      </c>
      <c r="AV16" s="28">
        <f t="shared" si="14"/>
        <v>0</v>
      </c>
      <c r="AW16" s="28">
        <f t="shared" si="15"/>
        <v>0</v>
      </c>
      <c r="AX16" s="28">
        <f t="shared" si="16"/>
        <v>0</v>
      </c>
      <c r="AY16" s="59" t="s">
        <v>1017</v>
      </c>
      <c r="AZ16" s="59" t="s">
        <v>1019</v>
      </c>
      <c r="BA16" s="56" t="s">
        <v>1022</v>
      </c>
      <c r="BC16" s="28">
        <f t="shared" si="17"/>
        <v>0</v>
      </c>
      <c r="BD16" s="28">
        <f t="shared" si="18"/>
        <v>0</v>
      </c>
      <c r="BE16" s="28">
        <v>0</v>
      </c>
      <c r="BF16" s="28">
        <f>17</f>
        <v>17</v>
      </c>
      <c r="BH16" s="60">
        <f t="shared" si="19"/>
        <v>0</v>
      </c>
      <c r="BI16" s="60">
        <f t="shared" si="20"/>
        <v>0</v>
      </c>
      <c r="BJ16" s="60">
        <f t="shared" si="21"/>
        <v>0</v>
      </c>
      <c r="BK16" s="60" t="s">
        <v>971</v>
      </c>
      <c r="BL16" s="28">
        <v>45</v>
      </c>
    </row>
    <row r="17" spans="1:64" x14ac:dyDescent="0.25">
      <c r="A17" s="34" t="s">
        <v>85</v>
      </c>
      <c r="B17" s="86" t="s">
        <v>1102</v>
      </c>
      <c r="C17" s="146" t="s">
        <v>1068</v>
      </c>
      <c r="D17" s="147"/>
      <c r="E17" s="147"/>
      <c r="F17" s="147"/>
      <c r="G17" s="147"/>
      <c r="H17" s="86" t="s">
        <v>897</v>
      </c>
      <c r="I17" s="76">
        <v>1</v>
      </c>
      <c r="J17" s="60"/>
      <c r="K17" s="60">
        <f t="shared" si="0"/>
        <v>0</v>
      </c>
      <c r="L17" s="53"/>
      <c r="M17" s="17"/>
      <c r="Z17" s="28">
        <f t="shared" si="1"/>
        <v>0</v>
      </c>
      <c r="AB17" s="28">
        <f t="shared" si="2"/>
        <v>0</v>
      </c>
      <c r="AC17" s="28">
        <f t="shared" si="3"/>
        <v>0</v>
      </c>
      <c r="AD17" s="28">
        <f t="shared" si="4"/>
        <v>0</v>
      </c>
      <c r="AE17" s="28">
        <f t="shared" si="5"/>
        <v>0</v>
      </c>
      <c r="AF17" s="28">
        <f t="shared" si="6"/>
        <v>0</v>
      </c>
      <c r="AG17" s="28">
        <f t="shared" si="7"/>
        <v>0</v>
      </c>
      <c r="AH17" s="28">
        <f t="shared" si="8"/>
        <v>0</v>
      </c>
      <c r="AI17" s="56" t="s">
        <v>75</v>
      </c>
      <c r="AJ17" s="60">
        <f t="shared" si="9"/>
        <v>0</v>
      </c>
      <c r="AK17" s="60">
        <f t="shared" si="10"/>
        <v>0</v>
      </c>
      <c r="AL17" s="60">
        <f t="shared" si="11"/>
        <v>0</v>
      </c>
      <c r="AN17" s="28">
        <v>21</v>
      </c>
      <c r="AO17" s="28">
        <f t="shared" si="12"/>
        <v>0</v>
      </c>
      <c r="AP17" s="28">
        <f t="shared" si="13"/>
        <v>0</v>
      </c>
      <c r="AQ17" s="57" t="s">
        <v>82</v>
      </c>
      <c r="AV17" s="28">
        <f t="shared" si="14"/>
        <v>0</v>
      </c>
      <c r="AW17" s="28">
        <f t="shared" si="15"/>
        <v>0</v>
      </c>
      <c r="AX17" s="28">
        <f t="shared" si="16"/>
        <v>0</v>
      </c>
      <c r="AY17" s="59" t="s">
        <v>1017</v>
      </c>
      <c r="AZ17" s="59" t="s">
        <v>1019</v>
      </c>
      <c r="BA17" s="56" t="s">
        <v>1022</v>
      </c>
      <c r="BC17" s="28">
        <f t="shared" si="17"/>
        <v>0</v>
      </c>
      <c r="BD17" s="28">
        <f t="shared" si="18"/>
        <v>0</v>
      </c>
      <c r="BE17" s="28">
        <v>0</v>
      </c>
      <c r="BF17" s="28">
        <f>17</f>
        <v>17</v>
      </c>
      <c r="BH17" s="60">
        <f t="shared" si="19"/>
        <v>0</v>
      </c>
      <c r="BI17" s="60">
        <f t="shared" si="20"/>
        <v>0</v>
      </c>
      <c r="BJ17" s="60">
        <f t="shared" si="21"/>
        <v>0</v>
      </c>
      <c r="BK17" s="60" t="s">
        <v>971</v>
      </c>
      <c r="BL17" s="28">
        <v>45</v>
      </c>
    </row>
    <row r="18" spans="1:64" x14ac:dyDescent="0.25">
      <c r="A18" s="34" t="s">
        <v>86</v>
      </c>
      <c r="B18" s="86" t="s">
        <v>1103</v>
      </c>
      <c r="C18" s="146" t="s">
        <v>1069</v>
      </c>
      <c r="D18" s="147"/>
      <c r="E18" s="147"/>
      <c r="F18" s="147"/>
      <c r="G18" s="147"/>
      <c r="H18" s="86" t="s">
        <v>897</v>
      </c>
      <c r="I18" s="76">
        <v>1</v>
      </c>
      <c r="J18" s="60"/>
      <c r="K18" s="60">
        <f t="shared" si="0"/>
        <v>0</v>
      </c>
      <c r="L18" s="53"/>
      <c r="M18" s="17"/>
      <c r="Z18" s="28">
        <f t="shared" si="1"/>
        <v>0</v>
      </c>
      <c r="AB18" s="28">
        <f t="shared" si="2"/>
        <v>0</v>
      </c>
      <c r="AC18" s="28">
        <f t="shared" si="3"/>
        <v>0</v>
      </c>
      <c r="AD18" s="28">
        <f t="shared" si="4"/>
        <v>0</v>
      </c>
      <c r="AE18" s="28">
        <f t="shared" si="5"/>
        <v>0</v>
      </c>
      <c r="AF18" s="28">
        <f t="shared" si="6"/>
        <v>0</v>
      </c>
      <c r="AG18" s="28">
        <f t="shared" si="7"/>
        <v>0</v>
      </c>
      <c r="AH18" s="28">
        <f t="shared" si="8"/>
        <v>0</v>
      </c>
      <c r="AI18" s="56" t="s">
        <v>75</v>
      </c>
      <c r="AJ18" s="60">
        <f t="shared" si="9"/>
        <v>0</v>
      </c>
      <c r="AK18" s="60">
        <f t="shared" si="10"/>
        <v>0</v>
      </c>
      <c r="AL18" s="60">
        <f t="shared" si="11"/>
        <v>0</v>
      </c>
      <c r="AN18" s="28">
        <v>21</v>
      </c>
      <c r="AO18" s="28">
        <f t="shared" si="12"/>
        <v>0</v>
      </c>
      <c r="AP18" s="28">
        <f t="shared" si="13"/>
        <v>0</v>
      </c>
      <c r="AQ18" s="57" t="s">
        <v>82</v>
      </c>
      <c r="AV18" s="28">
        <f t="shared" si="14"/>
        <v>0</v>
      </c>
      <c r="AW18" s="28">
        <f t="shared" si="15"/>
        <v>0</v>
      </c>
      <c r="AX18" s="28">
        <f t="shared" si="16"/>
        <v>0</v>
      </c>
      <c r="AY18" s="59" t="s">
        <v>1017</v>
      </c>
      <c r="AZ18" s="59" t="s">
        <v>1019</v>
      </c>
      <c r="BA18" s="56" t="s">
        <v>1022</v>
      </c>
      <c r="BC18" s="28">
        <f t="shared" si="17"/>
        <v>0</v>
      </c>
      <c r="BD18" s="28">
        <f t="shared" si="18"/>
        <v>0</v>
      </c>
      <c r="BE18" s="28">
        <v>0</v>
      </c>
      <c r="BF18" s="28">
        <f>17</f>
        <v>17</v>
      </c>
      <c r="BH18" s="60">
        <f t="shared" si="19"/>
        <v>0</v>
      </c>
      <c r="BI18" s="60">
        <f t="shared" si="20"/>
        <v>0</v>
      </c>
      <c r="BJ18" s="60">
        <f t="shared" si="21"/>
        <v>0</v>
      </c>
      <c r="BK18" s="60" t="s">
        <v>971</v>
      </c>
      <c r="BL18" s="28">
        <v>45</v>
      </c>
    </row>
    <row r="19" spans="1:64" x14ac:dyDescent="0.25">
      <c r="A19" s="34" t="s">
        <v>87</v>
      </c>
      <c r="B19" s="86" t="s">
        <v>1104</v>
      </c>
      <c r="C19" s="146" t="s">
        <v>1070</v>
      </c>
      <c r="D19" s="147"/>
      <c r="E19" s="147"/>
      <c r="F19" s="147"/>
      <c r="G19" s="147"/>
      <c r="H19" s="86" t="s">
        <v>1093</v>
      </c>
      <c r="I19" s="76">
        <v>2</v>
      </c>
      <c r="J19" s="60"/>
      <c r="K19" s="60">
        <f t="shared" si="0"/>
        <v>0</v>
      </c>
      <c r="L19" s="53"/>
      <c r="M19" s="17"/>
      <c r="Z19" s="28">
        <f t="shared" si="1"/>
        <v>0</v>
      </c>
      <c r="AB19" s="28">
        <f t="shared" si="2"/>
        <v>0</v>
      </c>
      <c r="AC19" s="28">
        <f t="shared" si="3"/>
        <v>0</v>
      </c>
      <c r="AD19" s="28">
        <f t="shared" si="4"/>
        <v>0</v>
      </c>
      <c r="AE19" s="28">
        <f t="shared" si="5"/>
        <v>0</v>
      </c>
      <c r="AF19" s="28">
        <f t="shared" si="6"/>
        <v>0</v>
      </c>
      <c r="AG19" s="28">
        <f t="shared" si="7"/>
        <v>0</v>
      </c>
      <c r="AH19" s="28">
        <f t="shared" si="8"/>
        <v>0</v>
      </c>
      <c r="AI19" s="56" t="s">
        <v>75</v>
      </c>
      <c r="AJ19" s="60">
        <f t="shared" si="9"/>
        <v>0</v>
      </c>
      <c r="AK19" s="60">
        <f t="shared" si="10"/>
        <v>0</v>
      </c>
      <c r="AL19" s="60">
        <f t="shared" si="11"/>
        <v>0</v>
      </c>
      <c r="AN19" s="28">
        <v>21</v>
      </c>
      <c r="AO19" s="28">
        <f t="shared" si="12"/>
        <v>0</v>
      </c>
      <c r="AP19" s="28">
        <f t="shared" si="13"/>
        <v>0</v>
      </c>
      <c r="AQ19" s="57" t="s">
        <v>82</v>
      </c>
      <c r="AV19" s="28">
        <f t="shared" si="14"/>
        <v>0</v>
      </c>
      <c r="AW19" s="28">
        <f t="shared" si="15"/>
        <v>0</v>
      </c>
      <c r="AX19" s="28">
        <f t="shared" si="16"/>
        <v>0</v>
      </c>
      <c r="AY19" s="59" t="s">
        <v>1017</v>
      </c>
      <c r="AZ19" s="59" t="s">
        <v>1019</v>
      </c>
      <c r="BA19" s="56" t="s">
        <v>1022</v>
      </c>
      <c r="BC19" s="28">
        <f t="shared" si="17"/>
        <v>0</v>
      </c>
      <c r="BD19" s="28">
        <f t="shared" si="18"/>
        <v>0</v>
      </c>
      <c r="BE19" s="28">
        <v>0</v>
      </c>
      <c r="BF19" s="28">
        <f>17</f>
        <v>17</v>
      </c>
      <c r="BH19" s="60">
        <f t="shared" si="19"/>
        <v>0</v>
      </c>
      <c r="BI19" s="60">
        <f t="shared" si="20"/>
        <v>0</v>
      </c>
      <c r="BJ19" s="60">
        <f t="shared" si="21"/>
        <v>0</v>
      </c>
      <c r="BK19" s="60" t="s">
        <v>971</v>
      </c>
      <c r="BL19" s="28">
        <v>45</v>
      </c>
    </row>
    <row r="20" spans="1:64" x14ac:dyDescent="0.25">
      <c r="A20" s="34" t="s">
        <v>88</v>
      </c>
      <c r="B20" s="86" t="s">
        <v>1105</v>
      </c>
      <c r="C20" s="146" t="s">
        <v>1071</v>
      </c>
      <c r="D20" s="147"/>
      <c r="E20" s="147"/>
      <c r="F20" s="147"/>
      <c r="G20" s="147"/>
      <c r="H20" s="86" t="s">
        <v>895</v>
      </c>
      <c r="I20" s="76">
        <v>150</v>
      </c>
      <c r="J20" s="60"/>
      <c r="K20" s="60">
        <f t="shared" si="0"/>
        <v>0</v>
      </c>
      <c r="L20" s="53"/>
      <c r="M20" s="17"/>
      <c r="Z20" s="28">
        <f t="shared" si="1"/>
        <v>0</v>
      </c>
      <c r="AB20" s="28">
        <f t="shared" si="2"/>
        <v>0</v>
      </c>
      <c r="AC20" s="28">
        <f t="shared" si="3"/>
        <v>0</v>
      </c>
      <c r="AD20" s="28">
        <f t="shared" si="4"/>
        <v>0</v>
      </c>
      <c r="AE20" s="28">
        <f t="shared" si="5"/>
        <v>0</v>
      </c>
      <c r="AF20" s="28">
        <f t="shared" si="6"/>
        <v>0</v>
      </c>
      <c r="AG20" s="28">
        <f t="shared" si="7"/>
        <v>0</v>
      </c>
      <c r="AH20" s="28">
        <f t="shared" si="8"/>
        <v>0</v>
      </c>
      <c r="AI20" s="56" t="s">
        <v>75</v>
      </c>
      <c r="AJ20" s="60">
        <f t="shared" si="9"/>
        <v>0</v>
      </c>
      <c r="AK20" s="60">
        <f t="shared" si="10"/>
        <v>0</v>
      </c>
      <c r="AL20" s="60">
        <f t="shared" si="11"/>
        <v>0</v>
      </c>
      <c r="AN20" s="28">
        <v>21</v>
      </c>
      <c r="AO20" s="28">
        <f t="shared" si="12"/>
        <v>0</v>
      </c>
      <c r="AP20" s="28">
        <f t="shared" si="13"/>
        <v>0</v>
      </c>
      <c r="AQ20" s="57" t="s">
        <v>82</v>
      </c>
      <c r="AV20" s="28">
        <f t="shared" si="14"/>
        <v>0</v>
      </c>
      <c r="AW20" s="28">
        <f t="shared" si="15"/>
        <v>0</v>
      </c>
      <c r="AX20" s="28">
        <f t="shared" si="16"/>
        <v>0</v>
      </c>
      <c r="AY20" s="59" t="s">
        <v>1017</v>
      </c>
      <c r="AZ20" s="59" t="s">
        <v>1019</v>
      </c>
      <c r="BA20" s="56" t="s">
        <v>1022</v>
      </c>
      <c r="BC20" s="28">
        <f t="shared" si="17"/>
        <v>0</v>
      </c>
      <c r="BD20" s="28">
        <f t="shared" si="18"/>
        <v>0</v>
      </c>
      <c r="BE20" s="28">
        <v>0</v>
      </c>
      <c r="BF20" s="28">
        <f>17</f>
        <v>17</v>
      </c>
      <c r="BH20" s="60">
        <f t="shared" si="19"/>
        <v>0</v>
      </c>
      <c r="BI20" s="60">
        <f t="shared" si="20"/>
        <v>0</v>
      </c>
      <c r="BJ20" s="60">
        <f t="shared" si="21"/>
        <v>0</v>
      </c>
      <c r="BK20" s="60" t="s">
        <v>971</v>
      </c>
      <c r="BL20" s="28">
        <v>45</v>
      </c>
    </row>
    <row r="21" spans="1:64" x14ac:dyDescent="0.25">
      <c r="A21" s="34" t="s">
        <v>89</v>
      </c>
      <c r="B21" s="86" t="s">
        <v>1106</v>
      </c>
      <c r="C21" s="146" t="s">
        <v>1072</v>
      </c>
      <c r="D21" s="147"/>
      <c r="E21" s="147"/>
      <c r="F21" s="147"/>
      <c r="G21" s="147"/>
      <c r="H21" s="86" t="s">
        <v>895</v>
      </c>
      <c r="I21" s="76">
        <v>250</v>
      </c>
      <c r="J21" s="60"/>
      <c r="K21" s="60">
        <f t="shared" si="0"/>
        <v>0</v>
      </c>
      <c r="L21" s="53"/>
      <c r="M21" s="17"/>
      <c r="Z21" s="28">
        <f t="shared" si="1"/>
        <v>0</v>
      </c>
      <c r="AB21" s="28">
        <f t="shared" si="2"/>
        <v>0</v>
      </c>
      <c r="AC21" s="28">
        <f t="shared" si="3"/>
        <v>0</v>
      </c>
      <c r="AD21" s="28">
        <f t="shared" si="4"/>
        <v>0</v>
      </c>
      <c r="AE21" s="28">
        <f t="shared" si="5"/>
        <v>0</v>
      </c>
      <c r="AF21" s="28">
        <f t="shared" si="6"/>
        <v>0</v>
      </c>
      <c r="AG21" s="28">
        <f t="shared" si="7"/>
        <v>0</v>
      </c>
      <c r="AH21" s="28">
        <f t="shared" si="8"/>
        <v>0</v>
      </c>
      <c r="AI21" s="56" t="s">
        <v>75</v>
      </c>
      <c r="AJ21" s="60">
        <f t="shared" si="9"/>
        <v>0</v>
      </c>
      <c r="AK21" s="60">
        <f t="shared" si="10"/>
        <v>0</v>
      </c>
      <c r="AL21" s="60">
        <f t="shared" si="11"/>
        <v>0</v>
      </c>
      <c r="AN21" s="28">
        <v>21</v>
      </c>
      <c r="AO21" s="28">
        <f t="shared" si="12"/>
        <v>0</v>
      </c>
      <c r="AP21" s="28">
        <f t="shared" si="13"/>
        <v>0</v>
      </c>
      <c r="AQ21" s="57" t="s">
        <v>82</v>
      </c>
      <c r="AV21" s="28">
        <f t="shared" si="14"/>
        <v>0</v>
      </c>
      <c r="AW21" s="28">
        <f t="shared" si="15"/>
        <v>0</v>
      </c>
      <c r="AX21" s="28">
        <f t="shared" si="16"/>
        <v>0</v>
      </c>
      <c r="AY21" s="59" t="s">
        <v>1017</v>
      </c>
      <c r="AZ21" s="59" t="s">
        <v>1019</v>
      </c>
      <c r="BA21" s="56" t="s">
        <v>1022</v>
      </c>
      <c r="BC21" s="28">
        <f t="shared" si="17"/>
        <v>0</v>
      </c>
      <c r="BD21" s="28">
        <f t="shared" si="18"/>
        <v>0</v>
      </c>
      <c r="BE21" s="28">
        <v>0</v>
      </c>
      <c r="BF21" s="28">
        <f>17</f>
        <v>17</v>
      </c>
      <c r="BH21" s="60">
        <f t="shared" si="19"/>
        <v>0</v>
      </c>
      <c r="BI21" s="60">
        <f t="shared" si="20"/>
        <v>0</v>
      </c>
      <c r="BJ21" s="60">
        <f t="shared" si="21"/>
        <v>0</v>
      </c>
      <c r="BK21" s="60" t="s">
        <v>971</v>
      </c>
      <c r="BL21" s="28">
        <v>45</v>
      </c>
    </row>
    <row r="22" spans="1:64" x14ac:dyDescent="0.25">
      <c r="A22" s="34" t="s">
        <v>90</v>
      </c>
      <c r="B22" s="86" t="s">
        <v>1107</v>
      </c>
      <c r="C22" s="146" t="s">
        <v>1073</v>
      </c>
      <c r="D22" s="147"/>
      <c r="E22" s="147"/>
      <c r="F22" s="147"/>
      <c r="G22" s="147"/>
      <c r="H22" s="86" t="s">
        <v>895</v>
      </c>
      <c r="I22" s="76">
        <v>100</v>
      </c>
      <c r="J22" s="60"/>
      <c r="K22" s="60">
        <f t="shared" si="0"/>
        <v>0</v>
      </c>
      <c r="L22" s="53"/>
      <c r="M22" s="17"/>
      <c r="Z22" s="28">
        <f t="shared" si="1"/>
        <v>0</v>
      </c>
      <c r="AB22" s="28">
        <f t="shared" si="2"/>
        <v>0</v>
      </c>
      <c r="AC22" s="28">
        <f t="shared" si="3"/>
        <v>0</v>
      </c>
      <c r="AD22" s="28">
        <f t="shared" si="4"/>
        <v>0</v>
      </c>
      <c r="AE22" s="28">
        <f t="shared" si="5"/>
        <v>0</v>
      </c>
      <c r="AF22" s="28">
        <f t="shared" si="6"/>
        <v>0</v>
      </c>
      <c r="AG22" s="28">
        <f t="shared" si="7"/>
        <v>0</v>
      </c>
      <c r="AH22" s="28">
        <f t="shared" si="8"/>
        <v>0</v>
      </c>
      <c r="AI22" s="56" t="s">
        <v>75</v>
      </c>
      <c r="AJ22" s="60">
        <f t="shared" si="9"/>
        <v>0</v>
      </c>
      <c r="AK22" s="60">
        <f t="shared" si="10"/>
        <v>0</v>
      </c>
      <c r="AL22" s="60">
        <f t="shared" si="11"/>
        <v>0</v>
      </c>
      <c r="AN22" s="28">
        <v>21</v>
      </c>
      <c r="AO22" s="28">
        <f t="shared" si="12"/>
        <v>0</v>
      </c>
      <c r="AP22" s="28">
        <f t="shared" si="13"/>
        <v>0</v>
      </c>
      <c r="AQ22" s="57" t="s">
        <v>82</v>
      </c>
      <c r="AV22" s="28">
        <f t="shared" si="14"/>
        <v>0</v>
      </c>
      <c r="AW22" s="28">
        <f t="shared" si="15"/>
        <v>0</v>
      </c>
      <c r="AX22" s="28">
        <f t="shared" si="16"/>
        <v>0</v>
      </c>
      <c r="AY22" s="59" t="s">
        <v>1017</v>
      </c>
      <c r="AZ22" s="59" t="s">
        <v>1019</v>
      </c>
      <c r="BA22" s="56" t="s">
        <v>1022</v>
      </c>
      <c r="BC22" s="28">
        <f t="shared" si="17"/>
        <v>0</v>
      </c>
      <c r="BD22" s="28">
        <f t="shared" si="18"/>
        <v>0</v>
      </c>
      <c r="BE22" s="28">
        <v>0</v>
      </c>
      <c r="BF22" s="28">
        <f>17</f>
        <v>17</v>
      </c>
      <c r="BH22" s="60">
        <f t="shared" si="19"/>
        <v>0</v>
      </c>
      <c r="BI22" s="60">
        <f t="shared" si="20"/>
        <v>0</v>
      </c>
      <c r="BJ22" s="60">
        <f t="shared" si="21"/>
        <v>0</v>
      </c>
      <c r="BK22" s="60" t="s">
        <v>971</v>
      </c>
      <c r="BL22" s="28">
        <v>45</v>
      </c>
    </row>
    <row r="23" spans="1:64" x14ac:dyDescent="0.25">
      <c r="A23" s="34" t="s">
        <v>91</v>
      </c>
      <c r="B23" s="86" t="s">
        <v>1108</v>
      </c>
      <c r="C23" s="146" t="s">
        <v>1074</v>
      </c>
      <c r="D23" s="147"/>
      <c r="E23" s="147"/>
      <c r="F23" s="147"/>
      <c r="G23" s="147"/>
      <c r="H23" s="86" t="s">
        <v>897</v>
      </c>
      <c r="I23" s="76">
        <v>32</v>
      </c>
      <c r="J23" s="60"/>
      <c r="K23" s="60">
        <f t="shared" si="0"/>
        <v>0</v>
      </c>
      <c r="L23" s="53"/>
      <c r="M23" s="17"/>
      <c r="Z23" s="28">
        <f t="shared" si="1"/>
        <v>0</v>
      </c>
      <c r="AB23" s="28">
        <f t="shared" si="2"/>
        <v>0</v>
      </c>
      <c r="AC23" s="28">
        <f t="shared" si="3"/>
        <v>0</v>
      </c>
      <c r="AD23" s="28">
        <f t="shared" si="4"/>
        <v>0</v>
      </c>
      <c r="AE23" s="28">
        <f t="shared" si="5"/>
        <v>0</v>
      </c>
      <c r="AF23" s="28">
        <f t="shared" si="6"/>
        <v>0</v>
      </c>
      <c r="AG23" s="28">
        <f t="shared" si="7"/>
        <v>0</v>
      </c>
      <c r="AH23" s="28">
        <f t="shared" si="8"/>
        <v>0</v>
      </c>
      <c r="AI23" s="56" t="s">
        <v>75</v>
      </c>
      <c r="AJ23" s="60">
        <f t="shared" si="9"/>
        <v>0</v>
      </c>
      <c r="AK23" s="60">
        <f t="shared" si="10"/>
        <v>0</v>
      </c>
      <c r="AL23" s="60">
        <f t="shared" si="11"/>
        <v>0</v>
      </c>
      <c r="AN23" s="28">
        <v>21</v>
      </c>
      <c r="AO23" s="28">
        <f t="shared" si="12"/>
        <v>0</v>
      </c>
      <c r="AP23" s="28">
        <f t="shared" si="13"/>
        <v>0</v>
      </c>
      <c r="AQ23" s="57" t="s">
        <v>82</v>
      </c>
      <c r="AV23" s="28">
        <f t="shared" si="14"/>
        <v>0</v>
      </c>
      <c r="AW23" s="28">
        <f t="shared" si="15"/>
        <v>0</v>
      </c>
      <c r="AX23" s="28">
        <f t="shared" si="16"/>
        <v>0</v>
      </c>
      <c r="AY23" s="59" t="s">
        <v>1017</v>
      </c>
      <c r="AZ23" s="59" t="s">
        <v>1019</v>
      </c>
      <c r="BA23" s="56" t="s">
        <v>1022</v>
      </c>
      <c r="BC23" s="28">
        <f t="shared" si="17"/>
        <v>0</v>
      </c>
      <c r="BD23" s="28">
        <f t="shared" si="18"/>
        <v>0</v>
      </c>
      <c r="BE23" s="28">
        <v>0</v>
      </c>
      <c r="BF23" s="28">
        <f>17</f>
        <v>17</v>
      </c>
      <c r="BH23" s="60">
        <f t="shared" si="19"/>
        <v>0</v>
      </c>
      <c r="BI23" s="60">
        <f t="shared" si="20"/>
        <v>0</v>
      </c>
      <c r="BJ23" s="60">
        <f t="shared" si="21"/>
        <v>0</v>
      </c>
      <c r="BK23" s="60" t="s">
        <v>971</v>
      </c>
      <c r="BL23" s="28">
        <v>45</v>
      </c>
    </row>
    <row r="24" spans="1:64" x14ac:dyDescent="0.25">
      <c r="A24" s="34" t="s">
        <v>92</v>
      </c>
      <c r="B24" s="86" t="s">
        <v>1109</v>
      </c>
      <c r="C24" s="146" t="s">
        <v>1075</v>
      </c>
      <c r="D24" s="147"/>
      <c r="E24" s="147"/>
      <c r="F24" s="147"/>
      <c r="G24" s="147"/>
      <c r="H24" s="86" t="s">
        <v>897</v>
      </c>
      <c r="I24" s="76">
        <v>8</v>
      </c>
      <c r="J24" s="60"/>
      <c r="K24" s="60">
        <f t="shared" si="0"/>
        <v>0</v>
      </c>
      <c r="L24" s="53"/>
      <c r="M24" s="17"/>
      <c r="Z24" s="28">
        <f t="shared" si="1"/>
        <v>0</v>
      </c>
      <c r="AB24" s="28">
        <f t="shared" si="2"/>
        <v>0</v>
      </c>
      <c r="AC24" s="28">
        <f t="shared" si="3"/>
        <v>0</v>
      </c>
      <c r="AD24" s="28">
        <f t="shared" si="4"/>
        <v>0</v>
      </c>
      <c r="AE24" s="28">
        <f t="shared" si="5"/>
        <v>0</v>
      </c>
      <c r="AF24" s="28">
        <f t="shared" si="6"/>
        <v>0</v>
      </c>
      <c r="AG24" s="28">
        <f t="shared" si="7"/>
        <v>0</v>
      </c>
      <c r="AH24" s="28">
        <f t="shared" si="8"/>
        <v>0</v>
      </c>
      <c r="AI24" s="56" t="s">
        <v>75</v>
      </c>
      <c r="AJ24" s="60">
        <f t="shared" si="9"/>
        <v>0</v>
      </c>
      <c r="AK24" s="60">
        <f t="shared" si="10"/>
        <v>0</v>
      </c>
      <c r="AL24" s="60">
        <f t="shared" si="11"/>
        <v>0</v>
      </c>
      <c r="AN24" s="28">
        <v>21</v>
      </c>
      <c r="AO24" s="28">
        <f t="shared" si="12"/>
        <v>0</v>
      </c>
      <c r="AP24" s="28">
        <f t="shared" si="13"/>
        <v>0</v>
      </c>
      <c r="AQ24" s="57" t="s">
        <v>82</v>
      </c>
      <c r="AV24" s="28">
        <f t="shared" si="14"/>
        <v>0</v>
      </c>
      <c r="AW24" s="28">
        <f t="shared" si="15"/>
        <v>0</v>
      </c>
      <c r="AX24" s="28">
        <f t="shared" si="16"/>
        <v>0</v>
      </c>
      <c r="AY24" s="59" t="s">
        <v>1017</v>
      </c>
      <c r="AZ24" s="59" t="s">
        <v>1019</v>
      </c>
      <c r="BA24" s="56" t="s">
        <v>1022</v>
      </c>
      <c r="BC24" s="28">
        <f t="shared" si="17"/>
        <v>0</v>
      </c>
      <c r="BD24" s="28">
        <f t="shared" si="18"/>
        <v>0</v>
      </c>
      <c r="BE24" s="28">
        <v>0</v>
      </c>
      <c r="BF24" s="28">
        <f>17</f>
        <v>17</v>
      </c>
      <c r="BH24" s="60">
        <f t="shared" si="19"/>
        <v>0</v>
      </c>
      <c r="BI24" s="60">
        <f t="shared" si="20"/>
        <v>0</v>
      </c>
      <c r="BJ24" s="60">
        <f t="shared" si="21"/>
        <v>0</v>
      </c>
      <c r="BK24" s="60" t="s">
        <v>971</v>
      </c>
      <c r="BL24" s="28">
        <v>45</v>
      </c>
    </row>
    <row r="25" spans="1:64" x14ac:dyDescent="0.25">
      <c r="A25" s="34" t="s">
        <v>93</v>
      </c>
      <c r="B25" s="86" t="s">
        <v>1110</v>
      </c>
      <c r="C25" s="146" t="s">
        <v>1076</v>
      </c>
      <c r="D25" s="147"/>
      <c r="E25" s="147"/>
      <c r="F25" s="147"/>
      <c r="G25" s="147"/>
      <c r="H25" s="86" t="s">
        <v>897</v>
      </c>
      <c r="I25" s="76">
        <v>32</v>
      </c>
      <c r="J25" s="60"/>
      <c r="K25" s="60">
        <f t="shared" si="0"/>
        <v>0</v>
      </c>
      <c r="L25" s="53"/>
      <c r="M25" s="17"/>
      <c r="Z25" s="28">
        <f t="shared" si="1"/>
        <v>0</v>
      </c>
      <c r="AB25" s="28">
        <f t="shared" si="2"/>
        <v>0</v>
      </c>
      <c r="AC25" s="28">
        <f t="shared" si="3"/>
        <v>0</v>
      </c>
      <c r="AD25" s="28">
        <f t="shared" si="4"/>
        <v>0</v>
      </c>
      <c r="AE25" s="28">
        <f t="shared" si="5"/>
        <v>0</v>
      </c>
      <c r="AF25" s="28">
        <f t="shared" si="6"/>
        <v>0</v>
      </c>
      <c r="AG25" s="28">
        <f t="shared" si="7"/>
        <v>0</v>
      </c>
      <c r="AH25" s="28">
        <f t="shared" si="8"/>
        <v>0</v>
      </c>
      <c r="AI25" s="56" t="s">
        <v>75</v>
      </c>
      <c r="AJ25" s="60">
        <f t="shared" si="9"/>
        <v>0</v>
      </c>
      <c r="AK25" s="60">
        <f t="shared" si="10"/>
        <v>0</v>
      </c>
      <c r="AL25" s="60">
        <f t="shared" si="11"/>
        <v>0</v>
      </c>
      <c r="AN25" s="28">
        <v>21</v>
      </c>
      <c r="AO25" s="28">
        <f t="shared" si="12"/>
        <v>0</v>
      </c>
      <c r="AP25" s="28">
        <f t="shared" si="13"/>
        <v>0</v>
      </c>
      <c r="AQ25" s="57" t="s">
        <v>82</v>
      </c>
      <c r="AV25" s="28">
        <f t="shared" si="14"/>
        <v>0</v>
      </c>
      <c r="AW25" s="28">
        <f t="shared" si="15"/>
        <v>0</v>
      </c>
      <c r="AX25" s="28">
        <f t="shared" si="16"/>
        <v>0</v>
      </c>
      <c r="AY25" s="59" t="s">
        <v>1017</v>
      </c>
      <c r="AZ25" s="59" t="s">
        <v>1019</v>
      </c>
      <c r="BA25" s="56" t="s">
        <v>1022</v>
      </c>
      <c r="BC25" s="28">
        <f t="shared" si="17"/>
        <v>0</v>
      </c>
      <c r="BD25" s="28">
        <f t="shared" si="18"/>
        <v>0</v>
      </c>
      <c r="BE25" s="28">
        <v>0</v>
      </c>
      <c r="BF25" s="28">
        <f>17</f>
        <v>17</v>
      </c>
      <c r="BH25" s="60">
        <f t="shared" si="19"/>
        <v>0</v>
      </c>
      <c r="BI25" s="60">
        <f t="shared" si="20"/>
        <v>0</v>
      </c>
      <c r="BJ25" s="60">
        <f t="shared" si="21"/>
        <v>0</v>
      </c>
      <c r="BK25" s="60" t="s">
        <v>971</v>
      </c>
      <c r="BL25" s="28">
        <v>45</v>
      </c>
    </row>
    <row r="26" spans="1:64" x14ac:dyDescent="0.25">
      <c r="A26" s="34" t="s">
        <v>94</v>
      </c>
      <c r="B26" s="86" t="s">
        <v>1111</v>
      </c>
      <c r="C26" s="146" t="s">
        <v>1077</v>
      </c>
      <c r="D26" s="147"/>
      <c r="E26" s="147"/>
      <c r="F26" s="147"/>
      <c r="G26" s="147"/>
      <c r="H26" s="86" t="s">
        <v>897</v>
      </c>
      <c r="I26" s="76">
        <v>8</v>
      </c>
      <c r="J26" s="60"/>
      <c r="K26" s="60">
        <f t="shared" si="0"/>
        <v>0</v>
      </c>
      <c r="L26" s="53"/>
      <c r="M26" s="17"/>
      <c r="Z26" s="28">
        <f t="shared" si="1"/>
        <v>0</v>
      </c>
      <c r="AB26" s="28">
        <f t="shared" si="2"/>
        <v>0</v>
      </c>
      <c r="AC26" s="28">
        <f t="shared" si="3"/>
        <v>0</v>
      </c>
      <c r="AD26" s="28">
        <f t="shared" si="4"/>
        <v>0</v>
      </c>
      <c r="AE26" s="28">
        <f t="shared" si="5"/>
        <v>0</v>
      </c>
      <c r="AF26" s="28">
        <f t="shared" si="6"/>
        <v>0</v>
      </c>
      <c r="AG26" s="28">
        <f t="shared" si="7"/>
        <v>0</v>
      </c>
      <c r="AH26" s="28">
        <f t="shared" si="8"/>
        <v>0</v>
      </c>
      <c r="AI26" s="56" t="s">
        <v>75</v>
      </c>
      <c r="AJ26" s="60">
        <f t="shared" si="9"/>
        <v>0</v>
      </c>
      <c r="AK26" s="60">
        <f t="shared" si="10"/>
        <v>0</v>
      </c>
      <c r="AL26" s="60">
        <f t="shared" si="11"/>
        <v>0</v>
      </c>
      <c r="AN26" s="28">
        <v>21</v>
      </c>
      <c r="AO26" s="28">
        <f t="shared" si="12"/>
        <v>0</v>
      </c>
      <c r="AP26" s="28">
        <f t="shared" si="13"/>
        <v>0</v>
      </c>
      <c r="AQ26" s="57" t="s">
        <v>82</v>
      </c>
      <c r="AV26" s="28">
        <f t="shared" si="14"/>
        <v>0</v>
      </c>
      <c r="AW26" s="28">
        <f t="shared" si="15"/>
        <v>0</v>
      </c>
      <c r="AX26" s="28">
        <f t="shared" si="16"/>
        <v>0</v>
      </c>
      <c r="AY26" s="59" t="s">
        <v>1017</v>
      </c>
      <c r="AZ26" s="59" t="s">
        <v>1019</v>
      </c>
      <c r="BA26" s="56" t="s">
        <v>1022</v>
      </c>
      <c r="BC26" s="28">
        <f t="shared" si="17"/>
        <v>0</v>
      </c>
      <c r="BD26" s="28">
        <f t="shared" si="18"/>
        <v>0</v>
      </c>
      <c r="BE26" s="28">
        <v>0</v>
      </c>
      <c r="BF26" s="28">
        <f>17</f>
        <v>17</v>
      </c>
      <c r="BH26" s="60">
        <f t="shared" si="19"/>
        <v>0</v>
      </c>
      <c r="BI26" s="60">
        <f t="shared" si="20"/>
        <v>0</v>
      </c>
      <c r="BJ26" s="60">
        <f t="shared" si="21"/>
        <v>0</v>
      </c>
      <c r="BK26" s="60" t="s">
        <v>971</v>
      </c>
      <c r="BL26" s="28">
        <v>45</v>
      </c>
    </row>
    <row r="27" spans="1:64" x14ac:dyDescent="0.25">
      <c r="A27" s="34" t="s">
        <v>95</v>
      </c>
      <c r="B27" s="86" t="s">
        <v>1112</v>
      </c>
      <c r="C27" s="146" t="s">
        <v>1078</v>
      </c>
      <c r="D27" s="147"/>
      <c r="E27" s="147"/>
      <c r="F27" s="147"/>
      <c r="G27" s="147"/>
      <c r="H27" s="86" t="s">
        <v>897</v>
      </c>
      <c r="I27" s="76">
        <v>32</v>
      </c>
      <c r="J27" s="60"/>
      <c r="K27" s="60">
        <f t="shared" si="0"/>
        <v>0</v>
      </c>
      <c r="L27" s="53"/>
      <c r="M27" s="17"/>
      <c r="Z27" s="28">
        <f t="shared" si="1"/>
        <v>0</v>
      </c>
      <c r="AB27" s="28">
        <f t="shared" si="2"/>
        <v>0</v>
      </c>
      <c r="AC27" s="28">
        <f t="shared" si="3"/>
        <v>0</v>
      </c>
      <c r="AD27" s="28">
        <f t="shared" si="4"/>
        <v>0</v>
      </c>
      <c r="AE27" s="28">
        <f t="shared" si="5"/>
        <v>0</v>
      </c>
      <c r="AF27" s="28">
        <f t="shared" si="6"/>
        <v>0</v>
      </c>
      <c r="AG27" s="28">
        <f t="shared" si="7"/>
        <v>0</v>
      </c>
      <c r="AH27" s="28">
        <f t="shared" si="8"/>
        <v>0</v>
      </c>
      <c r="AI27" s="56" t="s">
        <v>75</v>
      </c>
      <c r="AJ27" s="60">
        <f t="shared" si="9"/>
        <v>0</v>
      </c>
      <c r="AK27" s="60">
        <f t="shared" si="10"/>
        <v>0</v>
      </c>
      <c r="AL27" s="60">
        <f t="shared" si="11"/>
        <v>0</v>
      </c>
      <c r="AN27" s="28">
        <v>21</v>
      </c>
      <c r="AO27" s="28">
        <f t="shared" si="12"/>
        <v>0</v>
      </c>
      <c r="AP27" s="28">
        <f t="shared" si="13"/>
        <v>0</v>
      </c>
      <c r="AQ27" s="57" t="s">
        <v>82</v>
      </c>
      <c r="AV27" s="28">
        <f t="shared" si="14"/>
        <v>0</v>
      </c>
      <c r="AW27" s="28">
        <f t="shared" si="15"/>
        <v>0</v>
      </c>
      <c r="AX27" s="28">
        <f t="shared" si="16"/>
        <v>0</v>
      </c>
      <c r="AY27" s="59" t="s">
        <v>1017</v>
      </c>
      <c r="AZ27" s="59" t="s">
        <v>1019</v>
      </c>
      <c r="BA27" s="56" t="s">
        <v>1022</v>
      </c>
      <c r="BC27" s="28">
        <f t="shared" si="17"/>
        <v>0</v>
      </c>
      <c r="BD27" s="28">
        <f t="shared" si="18"/>
        <v>0</v>
      </c>
      <c r="BE27" s="28">
        <v>0</v>
      </c>
      <c r="BF27" s="28">
        <f>17</f>
        <v>17</v>
      </c>
      <c r="BH27" s="60">
        <f t="shared" si="19"/>
        <v>0</v>
      </c>
      <c r="BI27" s="60">
        <f t="shared" si="20"/>
        <v>0</v>
      </c>
      <c r="BJ27" s="60">
        <f t="shared" si="21"/>
        <v>0</v>
      </c>
      <c r="BK27" s="60" t="s">
        <v>971</v>
      </c>
      <c r="BL27" s="28">
        <v>45</v>
      </c>
    </row>
    <row r="28" spans="1:64" x14ac:dyDescent="0.25">
      <c r="A28" s="34" t="s">
        <v>96</v>
      </c>
      <c r="B28" s="86" t="s">
        <v>1113</v>
      </c>
      <c r="C28" s="146" t="s">
        <v>1079</v>
      </c>
      <c r="D28" s="147"/>
      <c r="E28" s="147"/>
      <c r="F28" s="147"/>
      <c r="G28" s="147"/>
      <c r="H28" s="86" t="s">
        <v>897</v>
      </c>
      <c r="I28" s="76">
        <v>8</v>
      </c>
      <c r="J28" s="60"/>
      <c r="K28" s="60">
        <f t="shared" si="0"/>
        <v>0</v>
      </c>
      <c r="L28" s="53"/>
      <c r="M28" s="17"/>
      <c r="Z28" s="28">
        <f t="shared" si="1"/>
        <v>0</v>
      </c>
      <c r="AB28" s="28">
        <f t="shared" si="2"/>
        <v>0</v>
      </c>
      <c r="AC28" s="28">
        <f t="shared" si="3"/>
        <v>0</v>
      </c>
      <c r="AD28" s="28">
        <f t="shared" si="4"/>
        <v>0</v>
      </c>
      <c r="AE28" s="28">
        <f t="shared" si="5"/>
        <v>0</v>
      </c>
      <c r="AF28" s="28">
        <f t="shared" si="6"/>
        <v>0</v>
      </c>
      <c r="AG28" s="28">
        <f t="shared" si="7"/>
        <v>0</v>
      </c>
      <c r="AH28" s="28">
        <f t="shared" si="8"/>
        <v>0</v>
      </c>
      <c r="AI28" s="56" t="s">
        <v>75</v>
      </c>
      <c r="AJ28" s="60">
        <f t="shared" si="9"/>
        <v>0</v>
      </c>
      <c r="AK28" s="60">
        <f t="shared" si="10"/>
        <v>0</v>
      </c>
      <c r="AL28" s="60">
        <f t="shared" si="11"/>
        <v>0</v>
      </c>
      <c r="AN28" s="28">
        <v>21</v>
      </c>
      <c r="AO28" s="28">
        <f t="shared" si="12"/>
        <v>0</v>
      </c>
      <c r="AP28" s="28">
        <f t="shared" si="13"/>
        <v>0</v>
      </c>
      <c r="AQ28" s="57" t="s">
        <v>82</v>
      </c>
      <c r="AV28" s="28">
        <f t="shared" si="14"/>
        <v>0</v>
      </c>
      <c r="AW28" s="28">
        <f t="shared" si="15"/>
        <v>0</v>
      </c>
      <c r="AX28" s="28">
        <f t="shared" si="16"/>
        <v>0</v>
      </c>
      <c r="AY28" s="59" t="s">
        <v>1017</v>
      </c>
      <c r="AZ28" s="59" t="s">
        <v>1019</v>
      </c>
      <c r="BA28" s="56" t="s">
        <v>1022</v>
      </c>
      <c r="BC28" s="28">
        <f t="shared" si="17"/>
        <v>0</v>
      </c>
      <c r="BD28" s="28">
        <f t="shared" si="18"/>
        <v>0</v>
      </c>
      <c r="BE28" s="28">
        <v>0</v>
      </c>
      <c r="BF28" s="28">
        <f>17</f>
        <v>17</v>
      </c>
      <c r="BH28" s="60">
        <f t="shared" si="19"/>
        <v>0</v>
      </c>
      <c r="BI28" s="60">
        <f t="shared" si="20"/>
        <v>0</v>
      </c>
      <c r="BJ28" s="60">
        <f t="shared" si="21"/>
        <v>0</v>
      </c>
      <c r="BK28" s="60" t="s">
        <v>971</v>
      </c>
      <c r="BL28" s="28">
        <v>45</v>
      </c>
    </row>
    <row r="29" spans="1:64" x14ac:dyDescent="0.25">
      <c r="A29" s="34" t="s">
        <v>97</v>
      </c>
      <c r="B29" s="86" t="s">
        <v>1114</v>
      </c>
      <c r="C29" s="146" t="s">
        <v>1080</v>
      </c>
      <c r="D29" s="147"/>
      <c r="E29" s="147"/>
      <c r="F29" s="147"/>
      <c r="G29" s="147"/>
      <c r="H29" s="86" t="s">
        <v>897</v>
      </c>
      <c r="I29" s="76">
        <v>37</v>
      </c>
      <c r="J29" s="60"/>
      <c r="K29" s="60">
        <f t="shared" si="0"/>
        <v>0</v>
      </c>
      <c r="L29" s="53"/>
      <c r="M29" s="17"/>
      <c r="Z29" s="28">
        <f t="shared" si="1"/>
        <v>0</v>
      </c>
      <c r="AB29" s="28">
        <f t="shared" si="2"/>
        <v>0</v>
      </c>
      <c r="AC29" s="28">
        <f t="shared" si="3"/>
        <v>0</v>
      </c>
      <c r="AD29" s="28">
        <f t="shared" si="4"/>
        <v>0</v>
      </c>
      <c r="AE29" s="28">
        <f t="shared" si="5"/>
        <v>0</v>
      </c>
      <c r="AF29" s="28">
        <f t="shared" si="6"/>
        <v>0</v>
      </c>
      <c r="AG29" s="28">
        <f t="shared" si="7"/>
        <v>0</v>
      </c>
      <c r="AH29" s="28">
        <f t="shared" si="8"/>
        <v>0</v>
      </c>
      <c r="AI29" s="56" t="s">
        <v>75</v>
      </c>
      <c r="AJ29" s="60">
        <f t="shared" si="9"/>
        <v>0</v>
      </c>
      <c r="AK29" s="60">
        <f t="shared" si="10"/>
        <v>0</v>
      </c>
      <c r="AL29" s="60">
        <f t="shared" si="11"/>
        <v>0</v>
      </c>
      <c r="AN29" s="28">
        <v>21</v>
      </c>
      <c r="AO29" s="28">
        <f t="shared" si="12"/>
        <v>0</v>
      </c>
      <c r="AP29" s="28">
        <f t="shared" si="13"/>
        <v>0</v>
      </c>
      <c r="AQ29" s="57" t="s">
        <v>82</v>
      </c>
      <c r="AV29" s="28">
        <f t="shared" si="14"/>
        <v>0</v>
      </c>
      <c r="AW29" s="28">
        <f t="shared" si="15"/>
        <v>0</v>
      </c>
      <c r="AX29" s="28">
        <f t="shared" si="16"/>
        <v>0</v>
      </c>
      <c r="AY29" s="59" t="s">
        <v>1017</v>
      </c>
      <c r="AZ29" s="59" t="s">
        <v>1019</v>
      </c>
      <c r="BA29" s="56" t="s">
        <v>1022</v>
      </c>
      <c r="BC29" s="28">
        <f t="shared" si="17"/>
        <v>0</v>
      </c>
      <c r="BD29" s="28">
        <f t="shared" si="18"/>
        <v>0</v>
      </c>
      <c r="BE29" s="28">
        <v>0</v>
      </c>
      <c r="BF29" s="28">
        <f>17</f>
        <v>17</v>
      </c>
      <c r="BH29" s="60">
        <f t="shared" si="19"/>
        <v>0</v>
      </c>
      <c r="BI29" s="60">
        <f t="shared" si="20"/>
        <v>0</v>
      </c>
      <c r="BJ29" s="60">
        <f t="shared" si="21"/>
        <v>0</v>
      </c>
      <c r="BK29" s="60" t="s">
        <v>971</v>
      </c>
      <c r="BL29" s="28">
        <v>45</v>
      </c>
    </row>
    <row r="30" spans="1:64" x14ac:dyDescent="0.25">
      <c r="A30" s="34" t="s">
        <v>98</v>
      </c>
      <c r="B30" s="86" t="s">
        <v>1062</v>
      </c>
      <c r="C30" s="146" t="s">
        <v>1081</v>
      </c>
      <c r="D30" s="147"/>
      <c r="E30" s="147"/>
      <c r="F30" s="147"/>
      <c r="G30" s="147"/>
      <c r="H30" s="86" t="s">
        <v>897</v>
      </c>
      <c r="I30" s="76">
        <v>27</v>
      </c>
      <c r="J30" s="60"/>
      <c r="K30" s="60">
        <f t="shared" si="0"/>
        <v>0</v>
      </c>
      <c r="L30" s="53"/>
      <c r="M30" s="17"/>
      <c r="Z30" s="28">
        <f t="shared" si="1"/>
        <v>0</v>
      </c>
      <c r="AB30" s="28">
        <f t="shared" si="2"/>
        <v>0</v>
      </c>
      <c r="AC30" s="28">
        <f t="shared" si="3"/>
        <v>0</v>
      </c>
      <c r="AD30" s="28">
        <f t="shared" si="4"/>
        <v>0</v>
      </c>
      <c r="AE30" s="28">
        <f t="shared" si="5"/>
        <v>0</v>
      </c>
      <c r="AF30" s="28">
        <f t="shared" si="6"/>
        <v>0</v>
      </c>
      <c r="AG30" s="28">
        <f t="shared" si="7"/>
        <v>0</v>
      </c>
      <c r="AH30" s="28">
        <f t="shared" si="8"/>
        <v>0</v>
      </c>
      <c r="AI30" s="56" t="s">
        <v>75</v>
      </c>
      <c r="AJ30" s="60">
        <f t="shared" si="9"/>
        <v>0</v>
      </c>
      <c r="AK30" s="60">
        <f t="shared" si="10"/>
        <v>0</v>
      </c>
      <c r="AL30" s="60">
        <f t="shared" si="11"/>
        <v>0</v>
      </c>
      <c r="AN30" s="28">
        <v>21</v>
      </c>
      <c r="AO30" s="28">
        <f t="shared" si="12"/>
        <v>0</v>
      </c>
      <c r="AP30" s="28">
        <f t="shared" si="13"/>
        <v>0</v>
      </c>
      <c r="AQ30" s="57" t="s">
        <v>82</v>
      </c>
      <c r="AV30" s="28">
        <f t="shared" si="14"/>
        <v>0</v>
      </c>
      <c r="AW30" s="28">
        <f t="shared" si="15"/>
        <v>0</v>
      </c>
      <c r="AX30" s="28">
        <f t="shared" si="16"/>
        <v>0</v>
      </c>
      <c r="AY30" s="59" t="s">
        <v>1017</v>
      </c>
      <c r="AZ30" s="59" t="s">
        <v>1019</v>
      </c>
      <c r="BA30" s="56" t="s">
        <v>1022</v>
      </c>
      <c r="BC30" s="28">
        <f t="shared" si="17"/>
        <v>0</v>
      </c>
      <c r="BD30" s="28">
        <f t="shared" si="18"/>
        <v>0</v>
      </c>
      <c r="BE30" s="28">
        <v>0</v>
      </c>
      <c r="BF30" s="28">
        <f>17</f>
        <v>17</v>
      </c>
      <c r="BH30" s="60">
        <f t="shared" si="19"/>
        <v>0</v>
      </c>
      <c r="BI30" s="60">
        <f t="shared" si="20"/>
        <v>0</v>
      </c>
      <c r="BJ30" s="60">
        <f t="shared" si="21"/>
        <v>0</v>
      </c>
      <c r="BK30" s="60" t="s">
        <v>971</v>
      </c>
      <c r="BL30" s="28">
        <v>45</v>
      </c>
    </row>
    <row r="31" spans="1:64" x14ac:dyDescent="0.25">
      <c r="A31" s="34" t="s">
        <v>99</v>
      </c>
      <c r="B31" s="86" t="s">
        <v>1063</v>
      </c>
      <c r="C31" s="146" t="s">
        <v>1082</v>
      </c>
      <c r="D31" s="147"/>
      <c r="E31" s="147"/>
      <c r="F31" s="147"/>
      <c r="G31" s="147"/>
      <c r="H31" s="86" t="s">
        <v>897</v>
      </c>
      <c r="I31" s="76">
        <v>10</v>
      </c>
      <c r="J31" s="60"/>
      <c r="K31" s="60">
        <f t="shared" si="0"/>
        <v>0</v>
      </c>
      <c r="L31" s="53"/>
      <c r="M31" s="17"/>
      <c r="Z31" s="28">
        <f t="shared" si="1"/>
        <v>0</v>
      </c>
      <c r="AB31" s="28">
        <f t="shared" si="2"/>
        <v>0</v>
      </c>
      <c r="AC31" s="28">
        <f t="shared" si="3"/>
        <v>0</v>
      </c>
      <c r="AD31" s="28">
        <f t="shared" si="4"/>
        <v>0</v>
      </c>
      <c r="AE31" s="28">
        <f t="shared" si="5"/>
        <v>0</v>
      </c>
      <c r="AF31" s="28">
        <f t="shared" si="6"/>
        <v>0</v>
      </c>
      <c r="AG31" s="28">
        <f t="shared" si="7"/>
        <v>0</v>
      </c>
      <c r="AH31" s="28">
        <f t="shared" si="8"/>
        <v>0</v>
      </c>
      <c r="AI31" s="56" t="s">
        <v>75</v>
      </c>
      <c r="AJ31" s="60">
        <f t="shared" si="9"/>
        <v>0</v>
      </c>
      <c r="AK31" s="60">
        <f t="shared" si="10"/>
        <v>0</v>
      </c>
      <c r="AL31" s="60">
        <f t="shared" si="11"/>
        <v>0</v>
      </c>
      <c r="AN31" s="28">
        <v>21</v>
      </c>
      <c r="AO31" s="28">
        <f t="shared" si="12"/>
        <v>0</v>
      </c>
      <c r="AP31" s="28">
        <f t="shared" si="13"/>
        <v>0</v>
      </c>
      <c r="AQ31" s="57" t="s">
        <v>82</v>
      </c>
      <c r="AV31" s="28">
        <f t="shared" si="14"/>
        <v>0</v>
      </c>
      <c r="AW31" s="28">
        <f t="shared" si="15"/>
        <v>0</v>
      </c>
      <c r="AX31" s="28">
        <f t="shared" si="16"/>
        <v>0</v>
      </c>
      <c r="AY31" s="59" t="s">
        <v>1017</v>
      </c>
      <c r="AZ31" s="59" t="s">
        <v>1019</v>
      </c>
      <c r="BA31" s="56" t="s">
        <v>1022</v>
      </c>
      <c r="BC31" s="28">
        <f t="shared" si="17"/>
        <v>0</v>
      </c>
      <c r="BD31" s="28">
        <f t="shared" si="18"/>
        <v>0</v>
      </c>
      <c r="BE31" s="28">
        <v>0</v>
      </c>
      <c r="BF31" s="28">
        <f>17</f>
        <v>17</v>
      </c>
      <c r="BH31" s="60">
        <f t="shared" si="19"/>
        <v>0</v>
      </c>
      <c r="BI31" s="60">
        <f t="shared" si="20"/>
        <v>0</v>
      </c>
      <c r="BJ31" s="60">
        <f t="shared" si="21"/>
        <v>0</v>
      </c>
      <c r="BK31" s="60" t="s">
        <v>971</v>
      </c>
      <c r="BL31" s="28">
        <v>45</v>
      </c>
    </row>
    <row r="32" spans="1:64" x14ac:dyDescent="0.25">
      <c r="A32" s="34" t="s">
        <v>100</v>
      </c>
      <c r="B32" s="86" t="s">
        <v>1115</v>
      </c>
      <c r="C32" s="146" t="s">
        <v>1083</v>
      </c>
      <c r="D32" s="147"/>
      <c r="E32" s="147"/>
      <c r="F32" s="147"/>
      <c r="G32" s="147"/>
      <c r="H32" s="86" t="s">
        <v>897</v>
      </c>
      <c r="I32" s="76">
        <v>73</v>
      </c>
      <c r="J32" s="60"/>
      <c r="K32" s="60">
        <f t="shared" si="0"/>
        <v>0</v>
      </c>
      <c r="L32" s="53"/>
      <c r="M32" s="17"/>
      <c r="Z32" s="28">
        <f t="shared" si="1"/>
        <v>0</v>
      </c>
      <c r="AB32" s="28">
        <f t="shared" si="2"/>
        <v>0</v>
      </c>
      <c r="AC32" s="28">
        <f t="shared" si="3"/>
        <v>0</v>
      </c>
      <c r="AD32" s="28">
        <f t="shared" si="4"/>
        <v>0</v>
      </c>
      <c r="AE32" s="28">
        <f t="shared" si="5"/>
        <v>0</v>
      </c>
      <c r="AF32" s="28">
        <f t="shared" si="6"/>
        <v>0</v>
      </c>
      <c r="AG32" s="28">
        <f t="shared" si="7"/>
        <v>0</v>
      </c>
      <c r="AH32" s="28">
        <f t="shared" si="8"/>
        <v>0</v>
      </c>
      <c r="AI32" s="56" t="s">
        <v>75</v>
      </c>
      <c r="AJ32" s="60">
        <f t="shared" si="9"/>
        <v>0</v>
      </c>
      <c r="AK32" s="60">
        <f t="shared" si="10"/>
        <v>0</v>
      </c>
      <c r="AL32" s="60">
        <f t="shared" si="11"/>
        <v>0</v>
      </c>
      <c r="AN32" s="28">
        <v>21</v>
      </c>
      <c r="AO32" s="28">
        <f t="shared" si="12"/>
        <v>0</v>
      </c>
      <c r="AP32" s="28">
        <f t="shared" si="13"/>
        <v>0</v>
      </c>
      <c r="AQ32" s="57" t="s">
        <v>82</v>
      </c>
      <c r="AV32" s="28">
        <f t="shared" si="14"/>
        <v>0</v>
      </c>
      <c r="AW32" s="28">
        <f t="shared" si="15"/>
        <v>0</v>
      </c>
      <c r="AX32" s="28">
        <f t="shared" si="16"/>
        <v>0</v>
      </c>
      <c r="AY32" s="59" t="s">
        <v>1017</v>
      </c>
      <c r="AZ32" s="59" t="s">
        <v>1019</v>
      </c>
      <c r="BA32" s="56" t="s">
        <v>1022</v>
      </c>
      <c r="BC32" s="28">
        <f t="shared" si="17"/>
        <v>0</v>
      </c>
      <c r="BD32" s="28">
        <f t="shared" si="18"/>
        <v>0</v>
      </c>
      <c r="BE32" s="28">
        <v>0</v>
      </c>
      <c r="BF32" s="28">
        <f>17</f>
        <v>17</v>
      </c>
      <c r="BH32" s="60">
        <f t="shared" si="19"/>
        <v>0</v>
      </c>
      <c r="BI32" s="60">
        <f t="shared" si="20"/>
        <v>0</v>
      </c>
      <c r="BJ32" s="60">
        <f t="shared" si="21"/>
        <v>0</v>
      </c>
      <c r="BK32" s="60" t="s">
        <v>971</v>
      </c>
      <c r="BL32" s="28">
        <v>45</v>
      </c>
    </row>
    <row r="33" spans="1:64" x14ac:dyDescent="0.25">
      <c r="A33" s="34" t="s">
        <v>101</v>
      </c>
      <c r="B33" s="86" t="s">
        <v>1099</v>
      </c>
      <c r="C33" s="146" t="s">
        <v>1084</v>
      </c>
      <c r="D33" s="147"/>
      <c r="E33" s="147"/>
      <c r="F33" s="147"/>
      <c r="G33" s="147"/>
      <c r="H33" s="86" t="s">
        <v>897</v>
      </c>
      <c r="I33" s="76">
        <v>1</v>
      </c>
      <c r="J33" s="60"/>
      <c r="K33" s="60">
        <f>I33*J33</f>
        <v>0</v>
      </c>
      <c r="L33" s="53"/>
      <c r="M33" s="17"/>
      <c r="Z33" s="28">
        <f>IF(AQ33="5",BJ33,0)</f>
        <v>0</v>
      </c>
      <c r="AB33" s="28">
        <f>IF(AQ33="1",BH33,0)</f>
        <v>0</v>
      </c>
      <c r="AC33" s="28">
        <f>IF(AQ33="1",BI33,0)</f>
        <v>0</v>
      </c>
      <c r="AD33" s="28">
        <f>IF(AQ33="7",BH33,0)</f>
        <v>0</v>
      </c>
      <c r="AE33" s="28">
        <f>IF(AQ33="7",BI33,0)</f>
        <v>0</v>
      </c>
      <c r="AF33" s="28">
        <f>IF(AQ33="2",BH33,0)</f>
        <v>0</v>
      </c>
      <c r="AG33" s="28">
        <f>IF(AQ33="2",BI33,0)</f>
        <v>0</v>
      </c>
      <c r="AH33" s="28">
        <f>IF(AQ33="0",BJ33,0)</f>
        <v>0</v>
      </c>
      <c r="AI33" s="56" t="s">
        <v>75</v>
      </c>
      <c r="AJ33" s="60">
        <f>IF(AN33=0,K33,0)</f>
        <v>0</v>
      </c>
      <c r="AK33" s="60">
        <f>IF(AN33=15,K33,0)</f>
        <v>0</v>
      </c>
      <c r="AL33" s="60">
        <f>IF(AN33=21,K33,0)</f>
        <v>0</v>
      </c>
      <c r="AN33" s="28">
        <v>21</v>
      </c>
      <c r="AO33" s="28">
        <f>J33*0.914974554707379</f>
        <v>0</v>
      </c>
      <c r="AP33" s="28">
        <f>J33*(1-0.914974554707379)</f>
        <v>0</v>
      </c>
      <c r="AQ33" s="57" t="s">
        <v>82</v>
      </c>
      <c r="AV33" s="28">
        <f>AW33+AX33</f>
        <v>0</v>
      </c>
      <c r="AW33" s="28">
        <f>I33*AO33</f>
        <v>0</v>
      </c>
      <c r="AX33" s="28">
        <f>I33*AP33</f>
        <v>0</v>
      </c>
      <c r="AY33" s="59" t="s">
        <v>1017</v>
      </c>
      <c r="AZ33" s="59" t="s">
        <v>1019</v>
      </c>
      <c r="BA33" s="56" t="s">
        <v>1022</v>
      </c>
      <c r="BC33" s="28">
        <f>AW33+AX33</f>
        <v>0</v>
      </c>
      <c r="BD33" s="28">
        <f>J33/(100-BE33)*100</f>
        <v>0</v>
      </c>
      <c r="BE33" s="28">
        <v>0</v>
      </c>
      <c r="BF33" s="28">
        <f>17</f>
        <v>17</v>
      </c>
      <c r="BH33" s="60">
        <f>I33*AO33</f>
        <v>0</v>
      </c>
      <c r="BI33" s="60">
        <f>I33*AP33</f>
        <v>0</v>
      </c>
      <c r="BJ33" s="60">
        <f>I33*J33</f>
        <v>0</v>
      </c>
      <c r="BK33" s="60" t="s">
        <v>971</v>
      </c>
      <c r="BL33" s="28">
        <v>45</v>
      </c>
    </row>
    <row r="34" spans="1:64" x14ac:dyDescent="0.25">
      <c r="A34" s="34" t="s">
        <v>102</v>
      </c>
      <c r="B34" s="86" t="s">
        <v>1098</v>
      </c>
      <c r="C34" s="146" t="s">
        <v>1085</v>
      </c>
      <c r="D34" s="147"/>
      <c r="E34" s="147"/>
      <c r="F34" s="147"/>
      <c r="G34" s="147"/>
      <c r="H34" s="86" t="s">
        <v>897</v>
      </c>
      <c r="I34" s="76">
        <v>6</v>
      </c>
      <c r="J34" s="60"/>
      <c r="K34" s="60">
        <f t="shared" ref="K34:K40" si="22">I34*J34</f>
        <v>0</v>
      </c>
      <c r="L34" s="53"/>
      <c r="M34" s="17"/>
      <c r="Z34" s="28">
        <f t="shared" ref="Z34:Z40" si="23">IF(AQ34="5",BJ34,0)</f>
        <v>0</v>
      </c>
      <c r="AB34" s="28">
        <f t="shared" ref="AB34:AB40" si="24">IF(AQ34="1",BH34,0)</f>
        <v>0</v>
      </c>
      <c r="AC34" s="28">
        <f t="shared" ref="AC34:AC40" si="25">IF(AQ34="1",BI34,0)</f>
        <v>0</v>
      </c>
      <c r="AD34" s="28">
        <f t="shared" ref="AD34:AD40" si="26">IF(AQ34="7",BH34,0)</f>
        <v>0</v>
      </c>
      <c r="AE34" s="28">
        <f t="shared" ref="AE34:AE40" si="27">IF(AQ34="7",BI34,0)</f>
        <v>0</v>
      </c>
      <c r="AF34" s="28">
        <f t="shared" ref="AF34:AF40" si="28">IF(AQ34="2",BH34,0)</f>
        <v>0</v>
      </c>
      <c r="AG34" s="28">
        <f t="shared" ref="AG34:AG40" si="29">IF(AQ34="2",BI34,0)</f>
        <v>0</v>
      </c>
      <c r="AH34" s="28">
        <f t="shared" ref="AH34:AH40" si="30">IF(AQ34="0",BJ34,0)</f>
        <v>0</v>
      </c>
      <c r="AI34" s="56" t="s">
        <v>75</v>
      </c>
      <c r="AJ34" s="60">
        <f t="shared" ref="AJ34:AJ40" si="31">IF(AN34=0,K34,0)</f>
        <v>0</v>
      </c>
      <c r="AK34" s="60">
        <f t="shared" ref="AK34:AK40" si="32">IF(AN34=15,K34,0)</f>
        <v>0</v>
      </c>
      <c r="AL34" s="60">
        <f t="shared" ref="AL34:AL40" si="33">IF(AN34=21,K34,0)</f>
        <v>0</v>
      </c>
      <c r="AN34" s="28">
        <v>21</v>
      </c>
      <c r="AO34" s="28">
        <f t="shared" ref="AO34:AO40" si="34">J34*0.914974554707379</f>
        <v>0</v>
      </c>
      <c r="AP34" s="28">
        <f t="shared" ref="AP34:AP40" si="35">J34*(1-0.914974554707379)</f>
        <v>0</v>
      </c>
      <c r="AQ34" s="57" t="s">
        <v>82</v>
      </c>
      <c r="AV34" s="28">
        <f t="shared" ref="AV34:AV40" si="36">AW34+AX34</f>
        <v>0</v>
      </c>
      <c r="AW34" s="28">
        <f t="shared" ref="AW34:AW40" si="37">I34*AO34</f>
        <v>0</v>
      </c>
      <c r="AX34" s="28">
        <f t="shared" ref="AX34:AX40" si="38">I34*AP34</f>
        <v>0</v>
      </c>
      <c r="AY34" s="59" t="s">
        <v>1017</v>
      </c>
      <c r="AZ34" s="59" t="s">
        <v>1019</v>
      </c>
      <c r="BA34" s="56" t="s">
        <v>1022</v>
      </c>
      <c r="BC34" s="28">
        <f t="shared" ref="BC34:BC40" si="39">AW34+AX34</f>
        <v>0</v>
      </c>
      <c r="BD34" s="28">
        <f t="shared" ref="BD34:BD40" si="40">J34/(100-BE34)*100</f>
        <v>0</v>
      </c>
      <c r="BE34" s="28">
        <v>0</v>
      </c>
      <c r="BF34" s="28">
        <f>17</f>
        <v>17</v>
      </c>
      <c r="BH34" s="60">
        <f t="shared" ref="BH34:BH40" si="41">I34*AO34</f>
        <v>0</v>
      </c>
      <c r="BI34" s="60">
        <f t="shared" ref="BI34:BI40" si="42">I34*AP34</f>
        <v>0</v>
      </c>
      <c r="BJ34" s="60">
        <f t="shared" ref="BJ34:BJ40" si="43">I34*J34</f>
        <v>0</v>
      </c>
      <c r="BK34" s="60" t="s">
        <v>971</v>
      </c>
      <c r="BL34" s="28">
        <v>45</v>
      </c>
    </row>
    <row r="35" spans="1:64" x14ac:dyDescent="0.25">
      <c r="A35" s="34" t="s">
        <v>103</v>
      </c>
      <c r="B35" s="86" t="s">
        <v>1097</v>
      </c>
      <c r="C35" s="146" t="s">
        <v>1086</v>
      </c>
      <c r="D35" s="147"/>
      <c r="E35" s="147"/>
      <c r="F35" s="147"/>
      <c r="G35" s="147"/>
      <c r="H35" s="86" t="s">
        <v>897</v>
      </c>
      <c r="I35" s="76">
        <v>67</v>
      </c>
      <c r="J35" s="60"/>
      <c r="K35" s="60">
        <f t="shared" si="22"/>
        <v>0</v>
      </c>
      <c r="L35" s="53"/>
      <c r="M35" s="17"/>
      <c r="Z35" s="28">
        <f t="shared" si="23"/>
        <v>0</v>
      </c>
      <c r="AB35" s="28">
        <f t="shared" si="24"/>
        <v>0</v>
      </c>
      <c r="AC35" s="28">
        <f t="shared" si="25"/>
        <v>0</v>
      </c>
      <c r="AD35" s="28">
        <f t="shared" si="26"/>
        <v>0</v>
      </c>
      <c r="AE35" s="28">
        <f t="shared" si="27"/>
        <v>0</v>
      </c>
      <c r="AF35" s="28">
        <f t="shared" si="28"/>
        <v>0</v>
      </c>
      <c r="AG35" s="28">
        <f t="shared" si="29"/>
        <v>0</v>
      </c>
      <c r="AH35" s="28">
        <f t="shared" si="30"/>
        <v>0</v>
      </c>
      <c r="AI35" s="56" t="s">
        <v>75</v>
      </c>
      <c r="AJ35" s="60">
        <f t="shared" si="31"/>
        <v>0</v>
      </c>
      <c r="AK35" s="60">
        <f t="shared" si="32"/>
        <v>0</v>
      </c>
      <c r="AL35" s="60">
        <f t="shared" si="33"/>
        <v>0</v>
      </c>
      <c r="AN35" s="28">
        <v>21</v>
      </c>
      <c r="AO35" s="28">
        <f t="shared" si="34"/>
        <v>0</v>
      </c>
      <c r="AP35" s="28">
        <f t="shared" si="35"/>
        <v>0</v>
      </c>
      <c r="AQ35" s="57" t="s">
        <v>82</v>
      </c>
      <c r="AV35" s="28">
        <f t="shared" si="36"/>
        <v>0</v>
      </c>
      <c r="AW35" s="28">
        <f t="shared" si="37"/>
        <v>0</v>
      </c>
      <c r="AX35" s="28">
        <f t="shared" si="38"/>
        <v>0</v>
      </c>
      <c r="AY35" s="59" t="s">
        <v>1017</v>
      </c>
      <c r="AZ35" s="59" t="s">
        <v>1019</v>
      </c>
      <c r="BA35" s="56" t="s">
        <v>1022</v>
      </c>
      <c r="BC35" s="28">
        <f t="shared" si="39"/>
        <v>0</v>
      </c>
      <c r="BD35" s="28">
        <f t="shared" si="40"/>
        <v>0</v>
      </c>
      <c r="BE35" s="28">
        <v>0</v>
      </c>
      <c r="BF35" s="28">
        <f>17</f>
        <v>17</v>
      </c>
      <c r="BH35" s="60">
        <f t="shared" si="41"/>
        <v>0</v>
      </c>
      <c r="BI35" s="60">
        <f t="shared" si="42"/>
        <v>0</v>
      </c>
      <c r="BJ35" s="60">
        <f t="shared" si="43"/>
        <v>0</v>
      </c>
      <c r="BK35" s="60" t="s">
        <v>971</v>
      </c>
      <c r="BL35" s="28">
        <v>45</v>
      </c>
    </row>
    <row r="36" spans="1:64" x14ac:dyDescent="0.25">
      <c r="A36" s="34" t="s">
        <v>104</v>
      </c>
      <c r="B36" s="86" t="s">
        <v>1096</v>
      </c>
      <c r="C36" s="146" t="s">
        <v>1087</v>
      </c>
      <c r="D36" s="147"/>
      <c r="E36" s="147"/>
      <c r="F36" s="147"/>
      <c r="G36" s="147"/>
      <c r="H36" s="86" t="s">
        <v>897</v>
      </c>
      <c r="I36" s="76">
        <v>1</v>
      </c>
      <c r="J36" s="60"/>
      <c r="K36" s="60">
        <f t="shared" si="22"/>
        <v>0</v>
      </c>
      <c r="L36" s="53"/>
      <c r="M36" s="17"/>
      <c r="Z36" s="28">
        <f t="shared" si="23"/>
        <v>0</v>
      </c>
      <c r="AB36" s="28">
        <f t="shared" si="24"/>
        <v>0</v>
      </c>
      <c r="AC36" s="28">
        <f t="shared" si="25"/>
        <v>0</v>
      </c>
      <c r="AD36" s="28">
        <f t="shared" si="26"/>
        <v>0</v>
      </c>
      <c r="AE36" s="28">
        <f t="shared" si="27"/>
        <v>0</v>
      </c>
      <c r="AF36" s="28">
        <f t="shared" si="28"/>
        <v>0</v>
      </c>
      <c r="AG36" s="28">
        <f t="shared" si="29"/>
        <v>0</v>
      </c>
      <c r="AH36" s="28">
        <f t="shared" si="30"/>
        <v>0</v>
      </c>
      <c r="AI36" s="56" t="s">
        <v>75</v>
      </c>
      <c r="AJ36" s="60">
        <f t="shared" si="31"/>
        <v>0</v>
      </c>
      <c r="AK36" s="60">
        <f t="shared" si="32"/>
        <v>0</v>
      </c>
      <c r="AL36" s="60">
        <f t="shared" si="33"/>
        <v>0</v>
      </c>
      <c r="AN36" s="28">
        <v>21</v>
      </c>
      <c r="AO36" s="28">
        <f t="shared" si="34"/>
        <v>0</v>
      </c>
      <c r="AP36" s="28">
        <f t="shared" si="35"/>
        <v>0</v>
      </c>
      <c r="AQ36" s="57" t="s">
        <v>82</v>
      </c>
      <c r="AV36" s="28">
        <f t="shared" si="36"/>
        <v>0</v>
      </c>
      <c r="AW36" s="28">
        <f t="shared" si="37"/>
        <v>0</v>
      </c>
      <c r="AX36" s="28">
        <f t="shared" si="38"/>
        <v>0</v>
      </c>
      <c r="AY36" s="59" t="s">
        <v>1017</v>
      </c>
      <c r="AZ36" s="59" t="s">
        <v>1019</v>
      </c>
      <c r="BA36" s="56" t="s">
        <v>1022</v>
      </c>
      <c r="BC36" s="28">
        <f t="shared" si="39"/>
        <v>0</v>
      </c>
      <c r="BD36" s="28">
        <f t="shared" si="40"/>
        <v>0</v>
      </c>
      <c r="BE36" s="28">
        <v>0</v>
      </c>
      <c r="BF36" s="28">
        <f>17</f>
        <v>17</v>
      </c>
      <c r="BH36" s="60">
        <f t="shared" si="41"/>
        <v>0</v>
      </c>
      <c r="BI36" s="60">
        <f t="shared" si="42"/>
        <v>0</v>
      </c>
      <c r="BJ36" s="60">
        <f t="shared" si="43"/>
        <v>0</v>
      </c>
      <c r="BK36" s="60" t="s">
        <v>971</v>
      </c>
      <c r="BL36" s="28">
        <v>45</v>
      </c>
    </row>
    <row r="37" spans="1:64" x14ac:dyDescent="0.25">
      <c r="A37" s="34" t="s">
        <v>105</v>
      </c>
      <c r="B37" s="86" t="s">
        <v>1095</v>
      </c>
      <c r="C37" s="146" t="s">
        <v>1088</v>
      </c>
      <c r="D37" s="147"/>
      <c r="E37" s="147"/>
      <c r="F37" s="147"/>
      <c r="G37" s="147"/>
      <c r="H37" s="86" t="s">
        <v>897</v>
      </c>
      <c r="I37" s="76">
        <v>129</v>
      </c>
      <c r="J37" s="60"/>
      <c r="K37" s="60">
        <f t="shared" si="22"/>
        <v>0</v>
      </c>
      <c r="L37" s="53"/>
      <c r="M37" s="17"/>
      <c r="Z37" s="28">
        <f t="shared" si="23"/>
        <v>0</v>
      </c>
      <c r="AB37" s="28">
        <f t="shared" si="24"/>
        <v>0</v>
      </c>
      <c r="AC37" s="28">
        <f t="shared" si="25"/>
        <v>0</v>
      </c>
      <c r="AD37" s="28">
        <f t="shared" si="26"/>
        <v>0</v>
      </c>
      <c r="AE37" s="28">
        <f t="shared" si="27"/>
        <v>0</v>
      </c>
      <c r="AF37" s="28">
        <f t="shared" si="28"/>
        <v>0</v>
      </c>
      <c r="AG37" s="28">
        <f t="shared" si="29"/>
        <v>0</v>
      </c>
      <c r="AH37" s="28">
        <f t="shared" si="30"/>
        <v>0</v>
      </c>
      <c r="AI37" s="56" t="s">
        <v>75</v>
      </c>
      <c r="AJ37" s="60">
        <f t="shared" si="31"/>
        <v>0</v>
      </c>
      <c r="AK37" s="60">
        <f t="shared" si="32"/>
        <v>0</v>
      </c>
      <c r="AL37" s="60">
        <f t="shared" si="33"/>
        <v>0</v>
      </c>
      <c r="AN37" s="28">
        <v>21</v>
      </c>
      <c r="AO37" s="28">
        <f t="shared" si="34"/>
        <v>0</v>
      </c>
      <c r="AP37" s="28">
        <f t="shared" si="35"/>
        <v>0</v>
      </c>
      <c r="AQ37" s="57" t="s">
        <v>82</v>
      </c>
      <c r="AV37" s="28">
        <f t="shared" si="36"/>
        <v>0</v>
      </c>
      <c r="AW37" s="28">
        <f t="shared" si="37"/>
        <v>0</v>
      </c>
      <c r="AX37" s="28">
        <f t="shared" si="38"/>
        <v>0</v>
      </c>
      <c r="AY37" s="59" t="s">
        <v>1017</v>
      </c>
      <c r="AZ37" s="59" t="s">
        <v>1019</v>
      </c>
      <c r="BA37" s="56" t="s">
        <v>1022</v>
      </c>
      <c r="BC37" s="28">
        <f t="shared" si="39"/>
        <v>0</v>
      </c>
      <c r="BD37" s="28">
        <f t="shared" si="40"/>
        <v>0</v>
      </c>
      <c r="BE37" s="28">
        <v>0</v>
      </c>
      <c r="BF37" s="28">
        <f>17</f>
        <v>17</v>
      </c>
      <c r="BH37" s="60">
        <f t="shared" si="41"/>
        <v>0</v>
      </c>
      <c r="BI37" s="60">
        <f t="shared" si="42"/>
        <v>0</v>
      </c>
      <c r="BJ37" s="60">
        <f t="shared" si="43"/>
        <v>0</v>
      </c>
      <c r="BK37" s="60" t="s">
        <v>971</v>
      </c>
      <c r="BL37" s="28">
        <v>45</v>
      </c>
    </row>
    <row r="38" spans="1:64" x14ac:dyDescent="0.25">
      <c r="A38" s="34" t="s">
        <v>106</v>
      </c>
      <c r="B38" s="86" t="s">
        <v>1064</v>
      </c>
      <c r="C38" s="146" t="s">
        <v>1089</v>
      </c>
      <c r="D38" s="147"/>
      <c r="E38" s="147"/>
      <c r="F38" s="147"/>
      <c r="G38" s="147"/>
      <c r="H38" s="86" t="s">
        <v>897</v>
      </c>
      <c r="I38" s="76">
        <v>129</v>
      </c>
      <c r="J38" s="60"/>
      <c r="K38" s="60">
        <f t="shared" si="22"/>
        <v>0</v>
      </c>
      <c r="L38" s="53"/>
      <c r="M38" s="17"/>
      <c r="Z38" s="28">
        <f t="shared" si="23"/>
        <v>0</v>
      </c>
      <c r="AB38" s="28">
        <f t="shared" si="24"/>
        <v>0</v>
      </c>
      <c r="AC38" s="28">
        <f t="shared" si="25"/>
        <v>0</v>
      </c>
      <c r="AD38" s="28">
        <f t="shared" si="26"/>
        <v>0</v>
      </c>
      <c r="AE38" s="28">
        <f t="shared" si="27"/>
        <v>0</v>
      </c>
      <c r="AF38" s="28">
        <f t="shared" si="28"/>
        <v>0</v>
      </c>
      <c r="AG38" s="28">
        <f t="shared" si="29"/>
        <v>0</v>
      </c>
      <c r="AH38" s="28">
        <f t="shared" si="30"/>
        <v>0</v>
      </c>
      <c r="AI38" s="56" t="s">
        <v>75</v>
      </c>
      <c r="AJ38" s="60">
        <f t="shared" si="31"/>
        <v>0</v>
      </c>
      <c r="AK38" s="60">
        <f t="shared" si="32"/>
        <v>0</v>
      </c>
      <c r="AL38" s="60">
        <f t="shared" si="33"/>
        <v>0</v>
      </c>
      <c r="AN38" s="28">
        <v>21</v>
      </c>
      <c r="AO38" s="28">
        <f t="shared" si="34"/>
        <v>0</v>
      </c>
      <c r="AP38" s="28">
        <f t="shared" si="35"/>
        <v>0</v>
      </c>
      <c r="AQ38" s="57" t="s">
        <v>82</v>
      </c>
      <c r="AV38" s="28">
        <f t="shared" si="36"/>
        <v>0</v>
      </c>
      <c r="AW38" s="28">
        <f t="shared" si="37"/>
        <v>0</v>
      </c>
      <c r="AX38" s="28">
        <f t="shared" si="38"/>
        <v>0</v>
      </c>
      <c r="AY38" s="59" t="s">
        <v>1017</v>
      </c>
      <c r="AZ38" s="59" t="s">
        <v>1019</v>
      </c>
      <c r="BA38" s="56" t="s">
        <v>1022</v>
      </c>
      <c r="BC38" s="28">
        <f t="shared" si="39"/>
        <v>0</v>
      </c>
      <c r="BD38" s="28">
        <f t="shared" si="40"/>
        <v>0</v>
      </c>
      <c r="BE38" s="28">
        <v>0</v>
      </c>
      <c r="BF38" s="28">
        <f>17</f>
        <v>17</v>
      </c>
      <c r="BH38" s="60">
        <f t="shared" si="41"/>
        <v>0</v>
      </c>
      <c r="BI38" s="60">
        <f t="shared" si="42"/>
        <v>0</v>
      </c>
      <c r="BJ38" s="60">
        <f t="shared" si="43"/>
        <v>0</v>
      </c>
      <c r="BK38" s="60" t="s">
        <v>971</v>
      </c>
      <c r="BL38" s="28">
        <v>45</v>
      </c>
    </row>
    <row r="39" spans="1:64" x14ac:dyDescent="0.25">
      <c r="A39" s="34" t="s">
        <v>107</v>
      </c>
      <c r="B39" s="86" t="s">
        <v>1116</v>
      </c>
      <c r="C39" s="146" t="s">
        <v>1090</v>
      </c>
      <c r="D39" s="147"/>
      <c r="E39" s="147"/>
      <c r="F39" s="147"/>
      <c r="G39" s="147"/>
      <c r="H39" s="86" t="s">
        <v>897</v>
      </c>
      <c r="I39" s="76">
        <v>14</v>
      </c>
      <c r="J39" s="60"/>
      <c r="K39" s="60">
        <f t="shared" si="22"/>
        <v>0</v>
      </c>
      <c r="L39" s="53"/>
      <c r="M39" s="17"/>
      <c r="Z39" s="28">
        <f t="shared" si="23"/>
        <v>0</v>
      </c>
      <c r="AB39" s="28">
        <f t="shared" si="24"/>
        <v>0</v>
      </c>
      <c r="AC39" s="28">
        <f t="shared" si="25"/>
        <v>0</v>
      </c>
      <c r="AD39" s="28">
        <f t="shared" si="26"/>
        <v>0</v>
      </c>
      <c r="AE39" s="28">
        <f t="shared" si="27"/>
        <v>0</v>
      </c>
      <c r="AF39" s="28">
        <f t="shared" si="28"/>
        <v>0</v>
      </c>
      <c r="AG39" s="28">
        <f t="shared" si="29"/>
        <v>0</v>
      </c>
      <c r="AH39" s="28">
        <f t="shared" si="30"/>
        <v>0</v>
      </c>
      <c r="AI39" s="56" t="s">
        <v>75</v>
      </c>
      <c r="AJ39" s="60">
        <f t="shared" si="31"/>
        <v>0</v>
      </c>
      <c r="AK39" s="60">
        <f t="shared" si="32"/>
        <v>0</v>
      </c>
      <c r="AL39" s="60">
        <f t="shared" si="33"/>
        <v>0</v>
      </c>
      <c r="AN39" s="28">
        <v>21</v>
      </c>
      <c r="AO39" s="28">
        <f t="shared" si="34"/>
        <v>0</v>
      </c>
      <c r="AP39" s="28">
        <f t="shared" si="35"/>
        <v>0</v>
      </c>
      <c r="AQ39" s="57" t="s">
        <v>82</v>
      </c>
      <c r="AV39" s="28">
        <f t="shared" si="36"/>
        <v>0</v>
      </c>
      <c r="AW39" s="28">
        <f t="shared" si="37"/>
        <v>0</v>
      </c>
      <c r="AX39" s="28">
        <f t="shared" si="38"/>
        <v>0</v>
      </c>
      <c r="AY39" s="59" t="s">
        <v>1017</v>
      </c>
      <c r="AZ39" s="59" t="s">
        <v>1019</v>
      </c>
      <c r="BA39" s="56" t="s">
        <v>1022</v>
      </c>
      <c r="BC39" s="28">
        <f t="shared" si="39"/>
        <v>0</v>
      </c>
      <c r="BD39" s="28">
        <f t="shared" si="40"/>
        <v>0</v>
      </c>
      <c r="BE39" s="28">
        <v>0</v>
      </c>
      <c r="BF39" s="28">
        <f>17</f>
        <v>17</v>
      </c>
      <c r="BH39" s="60">
        <f t="shared" si="41"/>
        <v>0</v>
      </c>
      <c r="BI39" s="60">
        <f t="shared" si="42"/>
        <v>0</v>
      </c>
      <c r="BJ39" s="60">
        <f t="shared" si="43"/>
        <v>0</v>
      </c>
      <c r="BK39" s="60" t="s">
        <v>971</v>
      </c>
      <c r="BL39" s="28">
        <v>45</v>
      </c>
    </row>
    <row r="40" spans="1:64" x14ac:dyDescent="0.25">
      <c r="A40" s="34" t="s">
        <v>108</v>
      </c>
      <c r="B40" s="86" t="s">
        <v>1117</v>
      </c>
      <c r="C40" s="146" t="s">
        <v>1091</v>
      </c>
      <c r="D40" s="147"/>
      <c r="E40" s="147"/>
      <c r="F40" s="147"/>
      <c r="G40" s="147"/>
      <c r="H40" s="86" t="s">
        <v>897</v>
      </c>
      <c r="I40" s="76">
        <v>2</v>
      </c>
      <c r="J40" s="60"/>
      <c r="K40" s="60">
        <f t="shared" si="22"/>
        <v>0</v>
      </c>
      <c r="L40" s="53"/>
      <c r="M40" s="17"/>
      <c r="Z40" s="28">
        <f t="shared" si="23"/>
        <v>0</v>
      </c>
      <c r="AB40" s="28">
        <f t="shared" si="24"/>
        <v>0</v>
      </c>
      <c r="AC40" s="28">
        <f t="shared" si="25"/>
        <v>0</v>
      </c>
      <c r="AD40" s="28">
        <f t="shared" si="26"/>
        <v>0</v>
      </c>
      <c r="AE40" s="28">
        <f t="shared" si="27"/>
        <v>0</v>
      </c>
      <c r="AF40" s="28">
        <f t="shared" si="28"/>
        <v>0</v>
      </c>
      <c r="AG40" s="28">
        <f t="shared" si="29"/>
        <v>0</v>
      </c>
      <c r="AH40" s="28">
        <f t="shared" si="30"/>
        <v>0</v>
      </c>
      <c r="AI40" s="56" t="s">
        <v>75</v>
      </c>
      <c r="AJ40" s="60">
        <f t="shared" si="31"/>
        <v>0</v>
      </c>
      <c r="AK40" s="60">
        <f t="shared" si="32"/>
        <v>0</v>
      </c>
      <c r="AL40" s="60">
        <f t="shared" si="33"/>
        <v>0</v>
      </c>
      <c r="AN40" s="28">
        <v>21</v>
      </c>
      <c r="AO40" s="28">
        <f t="shared" si="34"/>
        <v>0</v>
      </c>
      <c r="AP40" s="28">
        <f t="shared" si="35"/>
        <v>0</v>
      </c>
      <c r="AQ40" s="57" t="s">
        <v>82</v>
      </c>
      <c r="AV40" s="28">
        <f t="shared" si="36"/>
        <v>0</v>
      </c>
      <c r="AW40" s="28">
        <f t="shared" si="37"/>
        <v>0</v>
      </c>
      <c r="AX40" s="28">
        <f t="shared" si="38"/>
        <v>0</v>
      </c>
      <c r="AY40" s="59" t="s">
        <v>1017</v>
      </c>
      <c r="AZ40" s="59" t="s">
        <v>1019</v>
      </c>
      <c r="BA40" s="56" t="s">
        <v>1022</v>
      </c>
      <c r="BC40" s="28">
        <f t="shared" si="39"/>
        <v>0</v>
      </c>
      <c r="BD40" s="28">
        <f t="shared" si="40"/>
        <v>0</v>
      </c>
      <c r="BE40" s="28">
        <v>0</v>
      </c>
      <c r="BF40" s="28">
        <f>17</f>
        <v>17</v>
      </c>
      <c r="BH40" s="60">
        <f t="shared" si="41"/>
        <v>0</v>
      </c>
      <c r="BI40" s="60">
        <f t="shared" si="42"/>
        <v>0</v>
      </c>
      <c r="BJ40" s="60">
        <f t="shared" si="43"/>
        <v>0</v>
      </c>
      <c r="BK40" s="60" t="s">
        <v>971</v>
      </c>
      <c r="BL40" s="28">
        <v>45</v>
      </c>
    </row>
    <row r="41" spans="1:64" x14ac:dyDescent="0.25">
      <c r="A41" s="34" t="s">
        <v>109</v>
      </c>
      <c r="B41" s="86" t="s">
        <v>1118</v>
      </c>
      <c r="C41" s="146" t="s">
        <v>1092</v>
      </c>
      <c r="D41" s="147"/>
      <c r="E41" s="147"/>
      <c r="F41" s="147"/>
      <c r="G41" s="147"/>
      <c r="H41" s="86" t="s">
        <v>895</v>
      </c>
      <c r="I41" s="76">
        <v>300</v>
      </c>
      <c r="J41" s="60"/>
      <c r="K41" s="60">
        <f>I41*J41</f>
        <v>0</v>
      </c>
      <c r="L41" s="53"/>
      <c r="M41" s="17"/>
      <c r="Z41" s="28">
        <f>IF(AQ41="5",BJ41,0)</f>
        <v>0</v>
      </c>
      <c r="AB41" s="28">
        <f>IF(AQ41="1",BH41,0)</f>
        <v>0</v>
      </c>
      <c r="AC41" s="28">
        <f>IF(AQ41="1",BI41,0)</f>
        <v>0</v>
      </c>
      <c r="AD41" s="28">
        <f>IF(AQ41="7",BH41,0)</f>
        <v>0</v>
      </c>
      <c r="AE41" s="28">
        <f>IF(AQ41="7",BI41,0)</f>
        <v>0</v>
      </c>
      <c r="AF41" s="28">
        <f>IF(AQ41="2",BH41,0)</f>
        <v>0</v>
      </c>
      <c r="AG41" s="28">
        <f>IF(AQ41="2",BI41,0)</f>
        <v>0</v>
      </c>
      <c r="AH41" s="28">
        <f>IF(AQ41="0",BJ41,0)</f>
        <v>0</v>
      </c>
      <c r="AI41" s="56" t="s">
        <v>75</v>
      </c>
      <c r="AJ41" s="60">
        <f>IF(AN41=0,K41,0)</f>
        <v>0</v>
      </c>
      <c r="AK41" s="60">
        <f>IF(AN41=15,K41,0)</f>
        <v>0</v>
      </c>
      <c r="AL41" s="60">
        <f>IF(AN41=21,K41,0)</f>
        <v>0</v>
      </c>
      <c r="AN41" s="28">
        <v>21</v>
      </c>
      <c r="AO41" s="28">
        <f>J41*0.914974554707379</f>
        <v>0</v>
      </c>
      <c r="AP41" s="28">
        <f>J41*(1-0.914974554707379)</f>
        <v>0</v>
      </c>
      <c r="AQ41" s="57" t="s">
        <v>82</v>
      </c>
      <c r="AV41" s="28">
        <f>AW41+AX41</f>
        <v>0</v>
      </c>
      <c r="AW41" s="28">
        <f>I41*AO41</f>
        <v>0</v>
      </c>
      <c r="AX41" s="28">
        <f>I41*AP41</f>
        <v>0</v>
      </c>
      <c r="AY41" s="59" t="s">
        <v>1017</v>
      </c>
      <c r="AZ41" s="59" t="s">
        <v>1019</v>
      </c>
      <c r="BA41" s="56" t="s">
        <v>1022</v>
      </c>
      <c r="BC41" s="28">
        <f>AW41+AX41</f>
        <v>0</v>
      </c>
      <c r="BD41" s="28">
        <f>J41/(100-BE41)*100</f>
        <v>0</v>
      </c>
      <c r="BE41" s="28">
        <v>0</v>
      </c>
      <c r="BF41" s="28">
        <f>17</f>
        <v>17</v>
      </c>
      <c r="BH41" s="60">
        <f>I41*AO41</f>
        <v>0</v>
      </c>
      <c r="BI41" s="60">
        <f>I41*AP41</f>
        <v>0</v>
      </c>
      <c r="BJ41" s="60">
        <f>I41*J41</f>
        <v>0</v>
      </c>
      <c r="BK41" s="60" t="s">
        <v>971</v>
      </c>
      <c r="BL41" s="28">
        <v>45</v>
      </c>
    </row>
    <row r="42" spans="1:6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27">
        <f>K13</f>
        <v>0</v>
      </c>
      <c r="L42" s="5"/>
    </row>
    <row r="43" spans="1:64" ht="11.25" customHeight="1" x14ac:dyDescent="0.25">
      <c r="A43" s="20"/>
    </row>
    <row r="44" spans="1:64" x14ac:dyDescent="0.25">
      <c r="A44" s="10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</sheetData>
  <mergeCells count="58">
    <mergeCell ref="C20:G20"/>
    <mergeCell ref="C21:G21"/>
    <mergeCell ref="C22:G22"/>
    <mergeCell ref="A44:L44"/>
    <mergeCell ref="C37:G37"/>
    <mergeCell ref="C38:G38"/>
    <mergeCell ref="C39:G39"/>
    <mergeCell ref="C40:G40"/>
    <mergeCell ref="C30:G30"/>
    <mergeCell ref="C31:G31"/>
    <mergeCell ref="C32:G32"/>
    <mergeCell ref="C34:G34"/>
    <mergeCell ref="C35:G35"/>
    <mergeCell ref="C36:G36"/>
    <mergeCell ref="C13:G13"/>
    <mergeCell ref="C41:G41"/>
    <mergeCell ref="C33:G33"/>
    <mergeCell ref="C16:G16"/>
    <mergeCell ref="C17:G17"/>
    <mergeCell ref="C18:G18"/>
    <mergeCell ref="C26:G26"/>
    <mergeCell ref="C27:G27"/>
    <mergeCell ref="C28:G28"/>
    <mergeCell ref="C29:G29"/>
    <mergeCell ref="C14:G14"/>
    <mergeCell ref="C15:G15"/>
    <mergeCell ref="C23:G23"/>
    <mergeCell ref="C24:G24"/>
    <mergeCell ref="C25:G25"/>
    <mergeCell ref="C19:G19"/>
    <mergeCell ref="C10:G10"/>
    <mergeCell ref="C11:G11"/>
    <mergeCell ref="C12:G12"/>
    <mergeCell ref="A8:B9"/>
    <mergeCell ref="C8:C9"/>
    <mergeCell ref="D8:E9"/>
    <mergeCell ref="F8:F9"/>
    <mergeCell ref="G8:G9"/>
    <mergeCell ref="H8:L9"/>
    <mergeCell ref="A6:B7"/>
    <mergeCell ref="C6:C7"/>
    <mergeCell ref="D6:E7"/>
    <mergeCell ref="F6:F7"/>
    <mergeCell ref="G6:G7"/>
    <mergeCell ref="H6:L7"/>
    <mergeCell ref="H4:L5"/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5"/>
  <sheetViews>
    <sheetView workbookViewId="0">
      <selection activeCell="I67" sqref="I67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1030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83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SUM('Stavební rozpočet (SO 08)'!AB12:AB552)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SUM('Stavební rozpočet (SO 08)'!AC12:AC552)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SUM('Stavební rozpočet (SO 08)'!AD12:AD552)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SUM('Stavební rozpočet (SO 08)'!AE12:AE552)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 (SO 08)'!AF12:AF552)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 (SO 08)'!AG12:AG552)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SUM('Stavební rozpočet (SO 08)'!AH12:AH552)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SUM('Stavební rozpočet (SO 08)'!Z12:Z552)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5"/>
      <c r="D23" s="5"/>
      <c r="E23" s="5"/>
      <c r="F23" s="10"/>
      <c r="G23" s="115" t="s">
        <v>47</v>
      </c>
      <c r="H23" s="116"/>
      <c r="I23" s="29"/>
    </row>
    <row r="24" spans="1:10" x14ac:dyDescent="0.25">
      <c r="A24" s="1"/>
      <c r="B24" s="1"/>
      <c r="C24" s="1"/>
      <c r="G24" s="5"/>
      <c r="H24" s="5"/>
    </row>
    <row r="25" spans="1:10" ht="15.15" customHeight="1" x14ac:dyDescent="0.25">
      <c r="A25" s="117" t="s">
        <v>13</v>
      </c>
      <c r="B25" s="118"/>
      <c r="C25" s="19">
        <f>ROUND(SUM('Stavební rozpočet (SO 08)'!AJ12:AJ552),1)</f>
        <v>0</v>
      </c>
      <c r="D25" s="11"/>
      <c r="E25" s="1"/>
      <c r="F25" s="1"/>
      <c r="G25" s="1"/>
      <c r="H25" s="1"/>
      <c r="I25" s="1"/>
    </row>
    <row r="26" spans="1:10" ht="15.15" customHeight="1" x14ac:dyDescent="0.25">
      <c r="A26" s="117" t="s">
        <v>14</v>
      </c>
      <c r="B26" s="118"/>
      <c r="C26" s="19">
        <f>ROUND(SUM('Stavební rozpočet (SO 08)'!AK12:AK552),1)</f>
        <v>0</v>
      </c>
      <c r="D26" s="117" t="s">
        <v>29</v>
      </c>
      <c r="E26" s="118"/>
      <c r="F26" s="19">
        <f>ROUND(C26*(15/100),2)</f>
        <v>0</v>
      </c>
      <c r="G26" s="117" t="s">
        <v>49</v>
      </c>
      <c r="H26" s="118"/>
      <c r="I26" s="19">
        <f>ROUND(SUM(C25:C27),1)</f>
        <v>0</v>
      </c>
      <c r="J26" s="17"/>
    </row>
    <row r="27" spans="1:10" ht="15.15" customHeight="1" x14ac:dyDescent="0.25">
      <c r="A27" s="117" t="s">
        <v>15</v>
      </c>
      <c r="B27" s="118"/>
      <c r="C27" s="19">
        <f>ROUND(SUM('Stavební rozpočet (SO 08)'!AL12:AL552)+(F22+I22+F23+I23+I24),1)</f>
        <v>0</v>
      </c>
      <c r="D27" s="117" t="s">
        <v>30</v>
      </c>
      <c r="E27" s="118"/>
      <c r="F27" s="19">
        <f>ROUND(C27*(21/100),2)</f>
        <v>0</v>
      </c>
      <c r="G27" s="117" t="s">
        <v>50</v>
      </c>
      <c r="H27" s="118"/>
      <c r="I27" s="19">
        <f>ROUND(SUM(F26:F27)+I26,1)</f>
        <v>0</v>
      </c>
      <c r="J27" s="17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10" ht="14.4" customHeight="1" x14ac:dyDescent="0.25">
      <c r="A29" s="119" t="s">
        <v>16</v>
      </c>
      <c r="B29" s="120"/>
      <c r="C29" s="121"/>
      <c r="D29" s="119" t="s">
        <v>31</v>
      </c>
      <c r="E29" s="120"/>
      <c r="F29" s="121"/>
      <c r="G29" s="119" t="s">
        <v>51</v>
      </c>
      <c r="H29" s="120"/>
      <c r="I29" s="121"/>
      <c r="J29" s="18"/>
    </row>
    <row r="30" spans="1:10" ht="14.4" customHeight="1" x14ac:dyDescent="0.25">
      <c r="A30" s="122"/>
      <c r="B30" s="123"/>
      <c r="C30" s="124"/>
      <c r="D30" s="122"/>
      <c r="E30" s="123"/>
      <c r="F30" s="124"/>
      <c r="G30" s="122"/>
      <c r="H30" s="123"/>
      <c r="I30" s="124"/>
      <c r="J30" s="18"/>
    </row>
    <row r="31" spans="1:10" ht="14.4" customHeight="1" x14ac:dyDescent="0.25">
      <c r="A31" s="122"/>
      <c r="B31" s="123"/>
      <c r="C31" s="124"/>
      <c r="D31" s="122"/>
      <c r="E31" s="123"/>
      <c r="F31" s="124"/>
      <c r="G31" s="122"/>
      <c r="H31" s="123"/>
      <c r="I31" s="124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x14ac:dyDescent="0.25">
      <c r="A33" s="125" t="s">
        <v>17</v>
      </c>
      <c r="B33" s="126"/>
      <c r="C33" s="127"/>
      <c r="D33" s="125" t="s">
        <v>17</v>
      </c>
      <c r="E33" s="126"/>
      <c r="F33" s="127"/>
      <c r="G33" s="125" t="s">
        <v>17</v>
      </c>
      <c r="H33" s="126"/>
      <c r="I33" s="127"/>
      <c r="J33" s="18"/>
    </row>
    <row r="34" spans="1:10" ht="11.25" customHeight="1" x14ac:dyDescent="0.25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10" x14ac:dyDescent="0.25">
      <c r="A35" s="103"/>
      <c r="B35" s="94"/>
      <c r="C35" s="94"/>
      <c r="D35" s="94"/>
      <c r="E35" s="94"/>
      <c r="F35" s="94"/>
      <c r="G35" s="94"/>
      <c r="H35" s="94"/>
      <c r="I35" s="94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L21"/>
  <sheetViews>
    <sheetView workbookViewId="0">
      <pane ySplit="11" topLeftCell="A12" activePane="bottomLeft" state="frozenSplit"/>
      <selection pane="bottomLeft" activeCell="J45" sqref="J45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40.109375" customWidth="1"/>
    <col min="8" max="8" width="4.3320312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1031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143" t="s">
        <v>66</v>
      </c>
      <c r="F2" s="92"/>
      <c r="G2" s="98" t="str">
        <f>'Stavební rozpočet'!F2</f>
        <v xml:space="preserve"> </v>
      </c>
      <c r="H2" s="98" t="s">
        <v>32</v>
      </c>
      <c r="I2" s="92"/>
      <c r="J2" s="98" t="str">
        <f>'Stavební rozpočet'!H2</f>
        <v> </v>
      </c>
      <c r="K2" s="92"/>
      <c r="L2" s="129"/>
      <c r="M2" s="17"/>
    </row>
    <row r="3" spans="1:64" x14ac:dyDescent="0.25">
      <c r="A3" s="93"/>
      <c r="B3" s="94"/>
      <c r="C3" s="97"/>
      <c r="D3" s="97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tr">
        <f>'Stavební rozpočet'!C4</f>
        <v xml:space="preserve"> </v>
      </c>
      <c r="D4" s="94"/>
      <c r="E4" s="106" t="s">
        <v>3</v>
      </c>
      <c r="F4" s="94"/>
      <c r="G4" s="103" t="str">
        <f>'Stavební rozpočet'!F4</f>
        <v>22.01.2021</v>
      </c>
      <c r="H4" s="103" t="s">
        <v>33</v>
      </c>
      <c r="I4" s="94"/>
      <c r="J4" s="103" t="str">
        <f>'Stavební rozpočet'!H4</f>
        <v> </v>
      </c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tr">
        <f>'Stavební rozpočet'!C6</f>
        <v xml:space="preserve"> </v>
      </c>
      <c r="D6" s="94"/>
      <c r="E6" s="106" t="s">
        <v>35</v>
      </c>
      <c r="F6" s="94"/>
      <c r="G6" s="103" t="str">
        <f>'Stavební rozpočet'!F6</f>
        <v xml:space="preserve"> </v>
      </c>
      <c r="H6" s="103" t="s">
        <v>34</v>
      </c>
      <c r="I6" s="94"/>
      <c r="J6" s="103" t="str">
        <f>'Stavební rozpočet'!H6</f>
        <v> </v>
      </c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tr">
        <f>'Stavební rozpočet'!C8</f>
        <v xml:space="preserve"> </v>
      </c>
      <c r="D8" s="94"/>
      <c r="E8" s="106" t="s">
        <v>67</v>
      </c>
      <c r="F8" s="94"/>
      <c r="G8" s="103" t="str">
        <f>'Stavební rozpočet'!F8</f>
        <v>22.01.2021</v>
      </c>
      <c r="H8" s="103" t="s">
        <v>36</v>
      </c>
      <c r="I8" s="94"/>
      <c r="J8" s="103" t="str">
        <f>'Stavební rozpočet'!H8</f>
        <v> </v>
      </c>
      <c r="K8" s="94"/>
      <c r="L8" s="100"/>
      <c r="M8" s="17"/>
    </row>
    <row r="9" spans="1:64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 t="s">
        <v>904</v>
      </c>
      <c r="M10" s="18"/>
      <c r="BK10" s="56" t="s">
        <v>970</v>
      </c>
      <c r="BL10" s="62" t="s">
        <v>973</v>
      </c>
    </row>
    <row r="11" spans="1:64" x14ac:dyDescent="0.25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 t="s">
        <v>905</v>
      </c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39"/>
      <c r="C12" s="157" t="s">
        <v>65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K13+K17</f>
        <v>0</v>
      </c>
      <c r="L12" s="51"/>
      <c r="M12" s="17"/>
    </row>
    <row r="13" spans="1:64" x14ac:dyDescent="0.25">
      <c r="A13" s="33"/>
      <c r="B13" s="40" t="s">
        <v>140</v>
      </c>
      <c r="C13" s="144" t="s">
        <v>977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SUM(K14:K14)</f>
        <v>0</v>
      </c>
      <c r="L13" s="52"/>
      <c r="M13" s="17"/>
      <c r="AI13" s="56" t="s">
        <v>77</v>
      </c>
      <c r="AS13" s="65">
        <f>SUM(AJ14:AJ14)</f>
        <v>0</v>
      </c>
      <c r="AT13" s="65">
        <f>SUM(AK14:AK14)</f>
        <v>0</v>
      </c>
      <c r="AU13" s="65">
        <f>SUM(AL14:AL14)</f>
        <v>0</v>
      </c>
    </row>
    <row r="14" spans="1:64" x14ac:dyDescent="0.25">
      <c r="A14" s="34" t="s">
        <v>82</v>
      </c>
      <c r="B14" s="41" t="s">
        <v>1032</v>
      </c>
      <c r="C14" s="146" t="s">
        <v>1034</v>
      </c>
      <c r="D14" s="147"/>
      <c r="E14" s="147"/>
      <c r="F14" s="147"/>
      <c r="G14" s="147"/>
      <c r="H14" s="41" t="s">
        <v>891</v>
      </c>
      <c r="I14" s="76">
        <f>'Stavební rozpočet'!I548</f>
        <v>24.969000000000001</v>
      </c>
      <c r="J14" s="60"/>
      <c r="K14" s="60">
        <f>I14*J14</f>
        <v>0</v>
      </c>
      <c r="L14" s="53" t="s">
        <v>906</v>
      </c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77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J14*0.498435485632654</f>
        <v>0</v>
      </c>
      <c r="AP14" s="28">
        <f>J14*(1-0.498435485632654)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981</v>
      </c>
      <c r="AZ14" s="59" t="s">
        <v>1040</v>
      </c>
      <c r="BA14" s="56" t="s">
        <v>1042</v>
      </c>
      <c r="BC14" s="28">
        <f>AW14+AX14</f>
        <v>0</v>
      </c>
      <c r="BD14" s="28">
        <f>J14/(100-BE14)*100</f>
        <v>0</v>
      </c>
      <c r="BE14" s="28">
        <v>0</v>
      </c>
      <c r="BF14" s="28">
        <f>14</f>
        <v>14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59</v>
      </c>
    </row>
    <row r="15" spans="1:64" x14ac:dyDescent="0.25">
      <c r="A15" s="17"/>
      <c r="B15" s="42" t="s">
        <v>265</v>
      </c>
      <c r="C15" s="150" t="s">
        <v>1035</v>
      </c>
      <c r="D15" s="151"/>
      <c r="E15" s="151"/>
      <c r="F15" s="151"/>
      <c r="G15" s="151"/>
      <c r="H15" s="151"/>
      <c r="I15" s="151"/>
      <c r="J15" s="151"/>
      <c r="K15" s="151"/>
      <c r="L15" s="152"/>
      <c r="M15" s="17"/>
    </row>
    <row r="16" spans="1:64" x14ac:dyDescent="0.25">
      <c r="A16" s="17"/>
      <c r="C16" s="148" t="s">
        <v>1036</v>
      </c>
      <c r="D16" s="149"/>
      <c r="E16" s="149"/>
      <c r="F16" s="149"/>
      <c r="G16" s="149"/>
      <c r="I16" s="77">
        <v>24.969000000000001</v>
      </c>
      <c r="L16" s="14"/>
      <c r="M16" s="17"/>
    </row>
    <row r="17" spans="1:64" x14ac:dyDescent="0.25">
      <c r="A17" s="33"/>
      <c r="B17" s="40"/>
      <c r="C17" s="144" t="s">
        <v>10</v>
      </c>
      <c r="D17" s="145"/>
      <c r="E17" s="145"/>
      <c r="F17" s="145"/>
      <c r="G17" s="145"/>
      <c r="H17" s="46" t="s">
        <v>58</v>
      </c>
      <c r="I17" s="46" t="s">
        <v>58</v>
      </c>
      <c r="J17" s="46" t="s">
        <v>58</v>
      </c>
      <c r="K17" s="65">
        <f>SUM(K18:K18)</f>
        <v>0</v>
      </c>
      <c r="L17" s="52"/>
      <c r="M17" s="17"/>
      <c r="AI17" s="56" t="s">
        <v>77</v>
      </c>
      <c r="AS17" s="65">
        <f>SUM(AJ18:AJ18)</f>
        <v>0</v>
      </c>
      <c r="AT17" s="65">
        <f>SUM(AK18:AK18)</f>
        <v>0</v>
      </c>
      <c r="AU17" s="65">
        <f>SUM(AL18:AL18)</f>
        <v>0</v>
      </c>
    </row>
    <row r="18" spans="1:64" x14ac:dyDescent="0.25">
      <c r="A18" s="67" t="s">
        <v>83</v>
      </c>
      <c r="B18" s="68" t="s">
        <v>1033</v>
      </c>
      <c r="C18" s="165" t="s">
        <v>1037</v>
      </c>
      <c r="D18" s="166"/>
      <c r="E18" s="166"/>
      <c r="F18" s="166"/>
      <c r="G18" s="166"/>
      <c r="H18" s="68" t="s">
        <v>894</v>
      </c>
      <c r="I18" s="79">
        <f>'Stavební rozpočet'!I552</f>
        <v>1</v>
      </c>
      <c r="J18" s="70"/>
      <c r="K18" s="70">
        <f>I18*J18</f>
        <v>0</v>
      </c>
      <c r="L18" s="69" t="s">
        <v>906</v>
      </c>
      <c r="M18" s="17"/>
      <c r="Z18" s="28">
        <f>IF(AQ18="5",BJ18,0)</f>
        <v>0</v>
      </c>
      <c r="AB18" s="28">
        <f>IF(AQ18="1",BH18,0)</f>
        <v>0</v>
      </c>
      <c r="AC18" s="28">
        <f>IF(AQ18="1",BI18,0)</f>
        <v>0</v>
      </c>
      <c r="AD18" s="28">
        <f>IF(AQ18="7",BH18,0)</f>
        <v>0</v>
      </c>
      <c r="AE18" s="28">
        <f>IF(AQ18="7",BI18,0)</f>
        <v>0</v>
      </c>
      <c r="AF18" s="28">
        <f>IF(AQ18="2",BH18,0)</f>
        <v>0</v>
      </c>
      <c r="AG18" s="28">
        <f>IF(AQ18="2",BI18,0)</f>
        <v>0</v>
      </c>
      <c r="AH18" s="28">
        <f>IF(AQ18="0",BJ18,0)</f>
        <v>0</v>
      </c>
      <c r="AI18" s="56" t="s">
        <v>77</v>
      </c>
      <c r="AJ18" s="61">
        <f>IF(AN18=0,K18,0)</f>
        <v>0</v>
      </c>
      <c r="AK18" s="61">
        <f>IF(AN18=15,K18,0)</f>
        <v>0</v>
      </c>
      <c r="AL18" s="61">
        <f>IF(AN18=21,K18,0)</f>
        <v>0</v>
      </c>
      <c r="AN18" s="28">
        <v>21</v>
      </c>
      <c r="AO18" s="28">
        <f>J18*1</f>
        <v>0</v>
      </c>
      <c r="AP18" s="28">
        <f>J18*(1-1)</f>
        <v>0</v>
      </c>
      <c r="AQ18" s="58" t="s">
        <v>1038</v>
      </c>
      <c r="AV18" s="28">
        <f>AW18+AX18</f>
        <v>0</v>
      </c>
      <c r="AW18" s="28">
        <f>I18*AO18</f>
        <v>0</v>
      </c>
      <c r="AX18" s="28">
        <f>I18*AP18</f>
        <v>0</v>
      </c>
      <c r="AY18" s="59" t="s">
        <v>1039</v>
      </c>
      <c r="AZ18" s="59" t="s">
        <v>1041</v>
      </c>
      <c r="BA18" s="56" t="s">
        <v>1042</v>
      </c>
      <c r="BC18" s="28">
        <f>AW18+AX18</f>
        <v>0</v>
      </c>
      <c r="BD18" s="28">
        <f>J18/(100-BE18)*100</f>
        <v>0</v>
      </c>
      <c r="BE18" s="28">
        <v>0</v>
      </c>
      <c r="BF18" s="28">
        <f>18</f>
        <v>18</v>
      </c>
      <c r="BH18" s="61">
        <f>I18*AO18</f>
        <v>0</v>
      </c>
      <c r="BI18" s="61">
        <f>I18*AP18</f>
        <v>0</v>
      </c>
      <c r="BJ18" s="61">
        <f>I18*J18</f>
        <v>0</v>
      </c>
      <c r="BK18" s="61" t="s">
        <v>972</v>
      </c>
      <c r="BL18" s="28"/>
    </row>
    <row r="19" spans="1:6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27">
        <f>ROUND(K13+K17,1)</f>
        <v>0</v>
      </c>
      <c r="L19" s="5"/>
    </row>
    <row r="20" spans="1:64" ht="11.25" customHeight="1" x14ac:dyDescent="0.25">
      <c r="A20" s="20" t="s">
        <v>18</v>
      </c>
    </row>
    <row r="21" spans="1:64" x14ac:dyDescent="0.25">
      <c r="A21" s="10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</sheetData>
  <mergeCells count="35">
    <mergeCell ref="C16:G16"/>
    <mergeCell ref="C17:G17"/>
    <mergeCell ref="C18:G18"/>
    <mergeCell ref="A21:L21"/>
    <mergeCell ref="C10:G10"/>
    <mergeCell ref="C11:G11"/>
    <mergeCell ref="C12:G12"/>
    <mergeCell ref="C13:G13"/>
    <mergeCell ref="C14:G14"/>
    <mergeCell ref="C15:L15"/>
    <mergeCell ref="J8:L9"/>
    <mergeCell ref="A6:B7"/>
    <mergeCell ref="C6:D7"/>
    <mergeCell ref="E6:F7"/>
    <mergeCell ref="G6:G7"/>
    <mergeCell ref="H6:I7"/>
    <mergeCell ref="J6:L7"/>
    <mergeCell ref="A8:B9"/>
    <mergeCell ref="C8:D9"/>
    <mergeCell ref="E8:F9"/>
    <mergeCell ref="G8:G9"/>
    <mergeCell ref="H8:I9"/>
    <mergeCell ref="J4:L5"/>
    <mergeCell ref="A1:L1"/>
    <mergeCell ref="A2:B3"/>
    <mergeCell ref="C2:D3"/>
    <mergeCell ref="E2:F3"/>
    <mergeCell ref="G2:G3"/>
    <mergeCell ref="H2:I3"/>
    <mergeCell ref="J2:L3"/>
    <mergeCell ref="A4:B5"/>
    <mergeCell ref="C4:D5"/>
    <mergeCell ref="E4:F5"/>
    <mergeCell ref="G4:G5"/>
    <mergeCell ref="H4:I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L555"/>
  <sheetViews>
    <sheetView workbookViewId="0">
      <pane ySplit="11" topLeftCell="A12" activePane="bottomLeft" state="frozenSplit"/>
      <selection pane="bottomLeft" sqref="A1:L1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125.88671875" customWidth="1"/>
    <col min="8" max="8" width="6.4414062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1043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">
        <v>1057</v>
      </c>
      <c r="D2" s="143" t="s">
        <v>66</v>
      </c>
      <c r="E2" s="92"/>
      <c r="F2" s="143" t="s">
        <v>58</v>
      </c>
      <c r="G2" s="98" t="s">
        <v>32</v>
      </c>
      <c r="H2" s="143" t="s">
        <v>1059</v>
      </c>
      <c r="I2" s="92"/>
      <c r="J2" s="92"/>
      <c r="K2" s="92"/>
      <c r="L2" s="129"/>
      <c r="M2" s="17"/>
    </row>
    <row r="3" spans="1:64" x14ac:dyDescent="0.25">
      <c r="A3" s="93"/>
      <c r="B3" s="94"/>
      <c r="C3" s="97"/>
      <c r="D3" s="94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">
        <v>58</v>
      </c>
      <c r="D4" s="106" t="s">
        <v>3</v>
      </c>
      <c r="E4" s="94"/>
      <c r="F4" s="106" t="s">
        <v>1058</v>
      </c>
      <c r="G4" s="103" t="s">
        <v>33</v>
      </c>
      <c r="H4" s="106" t="s">
        <v>1059</v>
      </c>
      <c r="I4" s="94"/>
      <c r="J4" s="94"/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">
        <v>58</v>
      </c>
      <c r="D6" s="106" t="s">
        <v>35</v>
      </c>
      <c r="E6" s="94"/>
      <c r="F6" s="106" t="s">
        <v>58</v>
      </c>
      <c r="G6" s="103" t="s">
        <v>34</v>
      </c>
      <c r="H6" s="106" t="s">
        <v>1059</v>
      </c>
      <c r="I6" s="94"/>
      <c r="J6" s="94"/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">
        <v>58</v>
      </c>
      <c r="D8" s="106" t="s">
        <v>67</v>
      </c>
      <c r="E8" s="94"/>
      <c r="F8" s="106" t="s">
        <v>1058</v>
      </c>
      <c r="G8" s="103" t="s">
        <v>36</v>
      </c>
      <c r="H8" s="106" t="s">
        <v>1059</v>
      </c>
      <c r="I8" s="94"/>
      <c r="J8" s="94"/>
      <c r="K8" s="94"/>
      <c r="L8" s="100"/>
      <c r="M8" s="17"/>
    </row>
    <row r="9" spans="1:64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 t="s">
        <v>904</v>
      </c>
      <c r="M10" s="18"/>
      <c r="BK10" s="56" t="s">
        <v>970</v>
      </c>
      <c r="BL10" s="62" t="s">
        <v>973</v>
      </c>
    </row>
    <row r="11" spans="1:64" x14ac:dyDescent="0.25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 t="s">
        <v>905</v>
      </c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39"/>
      <c r="C12" s="157" t="s">
        <v>60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K13+K16+K19+K25+K28+K49+K83+K106+K121+K126+K133+K140+K158+K171+K189+K204+K244+K259+K263+K290+K301+K312+K328+K345+K353+K374+K388+K398+K413+K427+K429+K444+K463+K485+K500+K503+K505</f>
        <v>0</v>
      </c>
      <c r="L12" s="51"/>
      <c r="M12" s="17"/>
    </row>
    <row r="13" spans="1:64" x14ac:dyDescent="0.25">
      <c r="A13" s="33"/>
      <c r="B13" s="40" t="s">
        <v>92</v>
      </c>
      <c r="C13" s="144" t="s">
        <v>464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SUM(K14:K14)</f>
        <v>0</v>
      </c>
      <c r="L13" s="52"/>
      <c r="M13" s="17"/>
      <c r="AI13" s="56" t="s">
        <v>72</v>
      </c>
      <c r="AS13" s="65">
        <f>SUM(AJ14:AJ14)</f>
        <v>0</v>
      </c>
      <c r="AT13" s="65">
        <f>SUM(AK14:AK14)</f>
        <v>0</v>
      </c>
      <c r="AU13" s="65">
        <f>SUM(AL14:AL14)</f>
        <v>0</v>
      </c>
    </row>
    <row r="14" spans="1:64" x14ac:dyDescent="0.25">
      <c r="A14" s="34" t="s">
        <v>82</v>
      </c>
      <c r="B14" s="41" t="s">
        <v>262</v>
      </c>
      <c r="C14" s="146" t="s">
        <v>465</v>
      </c>
      <c r="D14" s="147"/>
      <c r="E14" s="147"/>
      <c r="F14" s="147"/>
      <c r="G14" s="147"/>
      <c r="H14" s="41" t="s">
        <v>891</v>
      </c>
      <c r="I14" s="76">
        <v>163.26</v>
      </c>
      <c r="J14" s="60">
        <v>0</v>
      </c>
      <c r="K14" s="60">
        <f>I14*J14</f>
        <v>0</v>
      </c>
      <c r="L14" s="53" t="s">
        <v>906</v>
      </c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72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</f>
        <v>0</v>
      </c>
      <c r="AP14" s="28">
        <f>J14*(1-0)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916</v>
      </c>
      <c r="AZ14" s="59" t="s">
        <v>953</v>
      </c>
      <c r="BA14" s="56" t="s">
        <v>966</v>
      </c>
      <c r="BC14" s="28">
        <f>AW14+AX14</f>
        <v>0</v>
      </c>
      <c r="BD14" s="28">
        <f>J14/(100-BE14)*100</f>
        <v>0</v>
      </c>
      <c r="BE14" s="28">
        <v>0</v>
      </c>
      <c r="BF14" s="28">
        <f>14</f>
        <v>14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11</v>
      </c>
    </row>
    <row r="15" spans="1:64" x14ac:dyDescent="0.25">
      <c r="A15" s="17"/>
      <c r="C15" s="148" t="s">
        <v>466</v>
      </c>
      <c r="D15" s="149"/>
      <c r="E15" s="149"/>
      <c r="F15" s="149"/>
      <c r="G15" s="149"/>
      <c r="I15" s="77">
        <v>163.26</v>
      </c>
      <c r="L15" s="14"/>
      <c r="M15" s="17"/>
    </row>
    <row r="16" spans="1:64" x14ac:dyDescent="0.25">
      <c r="A16" s="33"/>
      <c r="B16" s="40" t="s">
        <v>93</v>
      </c>
      <c r="C16" s="144" t="s">
        <v>467</v>
      </c>
      <c r="D16" s="145"/>
      <c r="E16" s="145"/>
      <c r="F16" s="145"/>
      <c r="G16" s="145"/>
      <c r="H16" s="46" t="s">
        <v>58</v>
      </c>
      <c r="I16" s="46" t="s">
        <v>58</v>
      </c>
      <c r="J16" s="46" t="s">
        <v>58</v>
      </c>
      <c r="K16" s="65">
        <f>SUM(K17:K17)</f>
        <v>0</v>
      </c>
      <c r="L16" s="52"/>
      <c r="M16" s="17"/>
      <c r="AI16" s="56" t="s">
        <v>72</v>
      </c>
      <c r="AS16" s="65">
        <f>SUM(AJ17:AJ17)</f>
        <v>0</v>
      </c>
      <c r="AT16" s="65">
        <f>SUM(AK17:AK17)</f>
        <v>0</v>
      </c>
      <c r="AU16" s="65">
        <f>SUM(AL17:AL17)</f>
        <v>0</v>
      </c>
    </row>
    <row r="17" spans="1:64" x14ac:dyDescent="0.25">
      <c r="A17" s="34" t="s">
        <v>83</v>
      </c>
      <c r="B17" s="41" t="s">
        <v>263</v>
      </c>
      <c r="C17" s="146" t="s">
        <v>468</v>
      </c>
      <c r="D17" s="147"/>
      <c r="E17" s="147"/>
      <c r="F17" s="147"/>
      <c r="G17" s="147"/>
      <c r="H17" s="41" t="s">
        <v>892</v>
      </c>
      <c r="I17" s="76">
        <v>37.5</v>
      </c>
      <c r="J17" s="60">
        <v>0</v>
      </c>
      <c r="K17" s="60">
        <f>I17*J17</f>
        <v>0</v>
      </c>
      <c r="L17" s="53" t="s">
        <v>906</v>
      </c>
      <c r="M17" s="17"/>
      <c r="Z17" s="28">
        <f>IF(AQ17="5",BJ17,0)</f>
        <v>0</v>
      </c>
      <c r="AB17" s="28">
        <f>IF(AQ17="1",BH17,0)</f>
        <v>0</v>
      </c>
      <c r="AC17" s="28">
        <f>IF(AQ17="1",BI17,0)</f>
        <v>0</v>
      </c>
      <c r="AD17" s="28">
        <f>IF(AQ17="7",BH17,0)</f>
        <v>0</v>
      </c>
      <c r="AE17" s="28">
        <f>IF(AQ17="7",BI17,0)</f>
        <v>0</v>
      </c>
      <c r="AF17" s="28">
        <f>IF(AQ17="2",BH17,0)</f>
        <v>0</v>
      </c>
      <c r="AG17" s="28">
        <f>IF(AQ17="2",BI17,0)</f>
        <v>0</v>
      </c>
      <c r="AH17" s="28">
        <f>IF(AQ17="0",BJ17,0)</f>
        <v>0</v>
      </c>
      <c r="AI17" s="56" t="s">
        <v>72</v>
      </c>
      <c r="AJ17" s="60">
        <f>IF(AN17=0,K17,0)</f>
        <v>0</v>
      </c>
      <c r="AK17" s="60">
        <f>IF(AN17=15,K17,0)</f>
        <v>0</v>
      </c>
      <c r="AL17" s="60">
        <f>IF(AN17=21,K17,0)</f>
        <v>0</v>
      </c>
      <c r="AN17" s="28">
        <v>21</v>
      </c>
      <c r="AO17" s="28">
        <f>J17*0</f>
        <v>0</v>
      </c>
      <c r="AP17" s="28">
        <f>J17*(1-0)</f>
        <v>0</v>
      </c>
      <c r="AQ17" s="57" t="s">
        <v>82</v>
      </c>
      <c r="AV17" s="28">
        <f>AW17+AX17</f>
        <v>0</v>
      </c>
      <c r="AW17" s="28">
        <f>I17*AO17</f>
        <v>0</v>
      </c>
      <c r="AX17" s="28">
        <f>I17*AP17</f>
        <v>0</v>
      </c>
      <c r="AY17" s="59" t="s">
        <v>917</v>
      </c>
      <c r="AZ17" s="59" t="s">
        <v>953</v>
      </c>
      <c r="BA17" s="56" t="s">
        <v>966</v>
      </c>
      <c r="BC17" s="28">
        <f>AW17+AX17</f>
        <v>0</v>
      </c>
      <c r="BD17" s="28">
        <f>J17/(100-BE17)*100</f>
        <v>0</v>
      </c>
      <c r="BE17" s="28">
        <v>0</v>
      </c>
      <c r="BF17" s="28">
        <f>17</f>
        <v>17</v>
      </c>
      <c r="BH17" s="60">
        <f>I17*AO17</f>
        <v>0</v>
      </c>
      <c r="BI17" s="60">
        <f>I17*AP17</f>
        <v>0</v>
      </c>
      <c r="BJ17" s="60">
        <f>I17*J17</f>
        <v>0</v>
      </c>
      <c r="BK17" s="60" t="s">
        <v>971</v>
      </c>
      <c r="BL17" s="28">
        <v>12</v>
      </c>
    </row>
    <row r="18" spans="1:64" x14ac:dyDescent="0.25">
      <c r="A18" s="17"/>
      <c r="C18" s="148" t="s">
        <v>469</v>
      </c>
      <c r="D18" s="149"/>
      <c r="E18" s="149"/>
      <c r="F18" s="149"/>
      <c r="G18" s="149"/>
      <c r="I18" s="77">
        <v>37.5</v>
      </c>
      <c r="L18" s="14"/>
      <c r="M18" s="17"/>
    </row>
    <row r="19" spans="1:64" x14ac:dyDescent="0.25">
      <c r="A19" s="33"/>
      <c r="B19" s="40" t="s">
        <v>94</v>
      </c>
      <c r="C19" s="144" t="s">
        <v>470</v>
      </c>
      <c r="D19" s="145"/>
      <c r="E19" s="145"/>
      <c r="F19" s="145"/>
      <c r="G19" s="145"/>
      <c r="H19" s="46" t="s">
        <v>58</v>
      </c>
      <c r="I19" s="46" t="s">
        <v>58</v>
      </c>
      <c r="J19" s="46" t="s">
        <v>58</v>
      </c>
      <c r="K19" s="65">
        <f>SUM(K20:K20)</f>
        <v>0</v>
      </c>
      <c r="L19" s="52"/>
      <c r="M19" s="17"/>
      <c r="AI19" s="56" t="s">
        <v>72</v>
      </c>
      <c r="AS19" s="65">
        <f>SUM(AJ20:AJ20)</f>
        <v>0</v>
      </c>
      <c r="AT19" s="65">
        <f>SUM(AK20:AK20)</f>
        <v>0</v>
      </c>
      <c r="AU19" s="65">
        <f>SUM(AL20:AL20)</f>
        <v>0</v>
      </c>
    </row>
    <row r="20" spans="1:64" x14ac:dyDescent="0.25">
      <c r="A20" s="34" t="s">
        <v>84</v>
      </c>
      <c r="B20" s="41" t="s">
        <v>264</v>
      </c>
      <c r="C20" s="146" t="s">
        <v>471</v>
      </c>
      <c r="D20" s="147"/>
      <c r="E20" s="147"/>
      <c r="F20" s="147"/>
      <c r="G20" s="147"/>
      <c r="H20" s="41" t="s">
        <v>892</v>
      </c>
      <c r="I20" s="76">
        <v>11.411</v>
      </c>
      <c r="J20" s="60">
        <v>0</v>
      </c>
      <c r="K20" s="60">
        <f>I20*J20</f>
        <v>0</v>
      </c>
      <c r="L20" s="53" t="s">
        <v>906</v>
      </c>
      <c r="M20" s="17"/>
      <c r="Z20" s="28">
        <f>IF(AQ20="5",BJ20,0)</f>
        <v>0</v>
      </c>
      <c r="AB20" s="28">
        <f>IF(AQ20="1",BH20,0)</f>
        <v>0</v>
      </c>
      <c r="AC20" s="28">
        <f>IF(AQ20="1",BI20,0)</f>
        <v>0</v>
      </c>
      <c r="AD20" s="28">
        <f>IF(AQ20="7",BH20,0)</f>
        <v>0</v>
      </c>
      <c r="AE20" s="28">
        <f>IF(AQ20="7",BI20,0)</f>
        <v>0</v>
      </c>
      <c r="AF20" s="28">
        <f>IF(AQ20="2",BH20,0)</f>
        <v>0</v>
      </c>
      <c r="AG20" s="28">
        <f>IF(AQ20="2",BI20,0)</f>
        <v>0</v>
      </c>
      <c r="AH20" s="28">
        <f>IF(AQ20="0",BJ20,0)</f>
        <v>0</v>
      </c>
      <c r="AI20" s="56" t="s">
        <v>72</v>
      </c>
      <c r="AJ20" s="60">
        <f>IF(AN20=0,K20,0)</f>
        <v>0</v>
      </c>
      <c r="AK20" s="60">
        <f>IF(AN20=15,K20,0)</f>
        <v>0</v>
      </c>
      <c r="AL20" s="60">
        <f>IF(AN20=21,K20,0)</f>
        <v>0</v>
      </c>
      <c r="AN20" s="28">
        <v>21</v>
      </c>
      <c r="AO20" s="28">
        <f>J20*0</f>
        <v>0</v>
      </c>
      <c r="AP20" s="28">
        <f>J20*(1-0)</f>
        <v>0</v>
      </c>
      <c r="AQ20" s="57" t="s">
        <v>82</v>
      </c>
      <c r="AV20" s="28">
        <f>AW20+AX20</f>
        <v>0</v>
      </c>
      <c r="AW20" s="28">
        <f>I20*AO20</f>
        <v>0</v>
      </c>
      <c r="AX20" s="28">
        <f>I20*AP20</f>
        <v>0</v>
      </c>
      <c r="AY20" s="59" t="s">
        <v>918</v>
      </c>
      <c r="AZ20" s="59" t="s">
        <v>953</v>
      </c>
      <c r="BA20" s="56" t="s">
        <v>966</v>
      </c>
      <c r="BC20" s="28">
        <f>AW20+AX20</f>
        <v>0</v>
      </c>
      <c r="BD20" s="28">
        <f>J20/(100-BE20)*100</f>
        <v>0</v>
      </c>
      <c r="BE20" s="28">
        <v>0</v>
      </c>
      <c r="BF20" s="28">
        <f>20</f>
        <v>20</v>
      </c>
      <c r="BH20" s="60">
        <f>I20*AO20</f>
        <v>0</v>
      </c>
      <c r="BI20" s="60">
        <f>I20*AP20</f>
        <v>0</v>
      </c>
      <c r="BJ20" s="60">
        <f>I20*J20</f>
        <v>0</v>
      </c>
      <c r="BK20" s="60" t="s">
        <v>971</v>
      </c>
      <c r="BL20" s="28">
        <v>13</v>
      </c>
    </row>
    <row r="21" spans="1:64" x14ac:dyDescent="0.25">
      <c r="A21" s="17"/>
      <c r="B21" s="42" t="s">
        <v>265</v>
      </c>
      <c r="C21" s="150" t="s">
        <v>472</v>
      </c>
      <c r="D21" s="151"/>
      <c r="E21" s="151"/>
      <c r="F21" s="151"/>
      <c r="G21" s="151"/>
      <c r="H21" s="151"/>
      <c r="I21" s="151"/>
      <c r="J21" s="151"/>
      <c r="K21" s="151"/>
      <c r="L21" s="152"/>
      <c r="M21" s="17"/>
    </row>
    <row r="22" spans="1:64" x14ac:dyDescent="0.25">
      <c r="A22" s="17"/>
      <c r="C22" s="148" t="s">
        <v>473</v>
      </c>
      <c r="D22" s="149"/>
      <c r="E22" s="149"/>
      <c r="F22" s="149"/>
      <c r="G22" s="149"/>
      <c r="I22" s="77">
        <v>5.3</v>
      </c>
      <c r="L22" s="14"/>
      <c r="M22" s="17"/>
    </row>
    <row r="23" spans="1:64" x14ac:dyDescent="0.25">
      <c r="A23" s="17"/>
      <c r="C23" s="148" t="s">
        <v>474</v>
      </c>
      <c r="D23" s="149"/>
      <c r="E23" s="149"/>
      <c r="F23" s="149"/>
      <c r="G23" s="149"/>
      <c r="I23" s="77">
        <v>0.111</v>
      </c>
      <c r="L23" s="14"/>
      <c r="M23" s="17"/>
    </row>
    <row r="24" spans="1:64" x14ac:dyDescent="0.25">
      <c r="A24" s="17"/>
      <c r="C24" s="148" t="s">
        <v>475</v>
      </c>
      <c r="D24" s="149"/>
      <c r="E24" s="149"/>
      <c r="F24" s="149"/>
      <c r="G24" s="149"/>
      <c r="I24" s="77">
        <v>6</v>
      </c>
      <c r="L24" s="14"/>
      <c r="M24" s="17"/>
    </row>
    <row r="25" spans="1:64" x14ac:dyDescent="0.25">
      <c r="A25" s="33"/>
      <c r="B25" s="40" t="s">
        <v>98</v>
      </c>
      <c r="C25" s="144" t="s">
        <v>476</v>
      </c>
      <c r="D25" s="145"/>
      <c r="E25" s="145"/>
      <c r="F25" s="145"/>
      <c r="G25" s="145"/>
      <c r="H25" s="46" t="s">
        <v>58</v>
      </c>
      <c r="I25" s="46" t="s">
        <v>58</v>
      </c>
      <c r="J25" s="46" t="s">
        <v>58</v>
      </c>
      <c r="K25" s="65">
        <f>SUM(K26:K26)</f>
        <v>0</v>
      </c>
      <c r="L25" s="52"/>
      <c r="M25" s="17"/>
      <c r="AI25" s="56" t="s">
        <v>72</v>
      </c>
      <c r="AS25" s="65">
        <f>SUM(AJ26:AJ26)</f>
        <v>0</v>
      </c>
      <c r="AT25" s="65">
        <f>SUM(AK26:AK26)</f>
        <v>0</v>
      </c>
      <c r="AU25" s="65">
        <f>SUM(AL26:AL26)</f>
        <v>0</v>
      </c>
    </row>
    <row r="26" spans="1:64" x14ac:dyDescent="0.25">
      <c r="A26" s="34" t="s">
        <v>85</v>
      </c>
      <c r="B26" s="41" t="s">
        <v>266</v>
      </c>
      <c r="C26" s="146" t="s">
        <v>477</v>
      </c>
      <c r="D26" s="147"/>
      <c r="E26" s="147"/>
      <c r="F26" s="147"/>
      <c r="G26" s="147"/>
      <c r="H26" s="41" t="s">
        <v>892</v>
      </c>
      <c r="I26" s="76">
        <v>6</v>
      </c>
      <c r="J26" s="60">
        <v>0</v>
      </c>
      <c r="K26" s="60">
        <f>I26*J26</f>
        <v>0</v>
      </c>
      <c r="L26" s="53" t="s">
        <v>906</v>
      </c>
      <c r="M26" s="17"/>
      <c r="Z26" s="28">
        <f>IF(AQ26="5",BJ26,0)</f>
        <v>0</v>
      </c>
      <c r="AB26" s="28">
        <f>IF(AQ26="1",BH26,0)</f>
        <v>0</v>
      </c>
      <c r="AC26" s="28">
        <f>IF(AQ26="1",BI26,0)</f>
        <v>0</v>
      </c>
      <c r="AD26" s="28">
        <f>IF(AQ26="7",BH26,0)</f>
        <v>0</v>
      </c>
      <c r="AE26" s="28">
        <f>IF(AQ26="7",BI26,0)</f>
        <v>0</v>
      </c>
      <c r="AF26" s="28">
        <f>IF(AQ26="2",BH26,0)</f>
        <v>0</v>
      </c>
      <c r="AG26" s="28">
        <f>IF(AQ26="2",BI26,0)</f>
        <v>0</v>
      </c>
      <c r="AH26" s="28">
        <f>IF(AQ26="0",BJ26,0)</f>
        <v>0</v>
      </c>
      <c r="AI26" s="56" t="s">
        <v>72</v>
      </c>
      <c r="AJ26" s="60">
        <f>IF(AN26=0,K26,0)</f>
        <v>0</v>
      </c>
      <c r="AK26" s="60">
        <f>IF(AN26=15,K26,0)</f>
        <v>0</v>
      </c>
      <c r="AL26" s="60">
        <f>IF(AN26=21,K26,0)</f>
        <v>0</v>
      </c>
      <c r="AN26" s="28">
        <v>21</v>
      </c>
      <c r="AO26" s="28">
        <f>J26*0</f>
        <v>0</v>
      </c>
      <c r="AP26" s="28">
        <f>J26*(1-0)</f>
        <v>0</v>
      </c>
      <c r="AQ26" s="57" t="s">
        <v>82</v>
      </c>
      <c r="AV26" s="28">
        <f>AW26+AX26</f>
        <v>0</v>
      </c>
      <c r="AW26" s="28">
        <f>I26*AO26</f>
        <v>0</v>
      </c>
      <c r="AX26" s="28">
        <f>I26*AP26</f>
        <v>0</v>
      </c>
      <c r="AY26" s="59" t="s">
        <v>919</v>
      </c>
      <c r="AZ26" s="59" t="s">
        <v>953</v>
      </c>
      <c r="BA26" s="56" t="s">
        <v>966</v>
      </c>
      <c r="BC26" s="28">
        <f>AW26+AX26</f>
        <v>0</v>
      </c>
      <c r="BD26" s="28">
        <f>J26/(100-BE26)*100</f>
        <v>0</v>
      </c>
      <c r="BE26" s="28">
        <v>0</v>
      </c>
      <c r="BF26" s="28">
        <f>26</f>
        <v>26</v>
      </c>
      <c r="BH26" s="60">
        <f>I26*AO26</f>
        <v>0</v>
      </c>
      <c r="BI26" s="60">
        <f>I26*AP26</f>
        <v>0</v>
      </c>
      <c r="BJ26" s="60">
        <f>I26*J26</f>
        <v>0</v>
      </c>
      <c r="BK26" s="60" t="s">
        <v>971</v>
      </c>
      <c r="BL26" s="28">
        <v>17</v>
      </c>
    </row>
    <row r="27" spans="1:64" x14ac:dyDescent="0.25">
      <c r="A27" s="17"/>
      <c r="C27" s="148" t="s">
        <v>478</v>
      </c>
      <c r="D27" s="149"/>
      <c r="E27" s="149"/>
      <c r="F27" s="149"/>
      <c r="G27" s="149"/>
      <c r="I27" s="77">
        <v>6</v>
      </c>
      <c r="L27" s="14"/>
      <c r="M27" s="17"/>
    </row>
    <row r="28" spans="1:64" x14ac:dyDescent="0.25">
      <c r="A28" s="33"/>
      <c r="B28" s="40" t="s">
        <v>108</v>
      </c>
      <c r="C28" s="144" t="s">
        <v>479</v>
      </c>
      <c r="D28" s="145"/>
      <c r="E28" s="145"/>
      <c r="F28" s="145"/>
      <c r="G28" s="145"/>
      <c r="H28" s="46" t="s">
        <v>58</v>
      </c>
      <c r="I28" s="46" t="s">
        <v>58</v>
      </c>
      <c r="J28" s="46" t="s">
        <v>58</v>
      </c>
      <c r="K28" s="65">
        <f>SUM(K29:K48)</f>
        <v>0</v>
      </c>
      <c r="L28" s="52"/>
      <c r="M28" s="17"/>
      <c r="AI28" s="56" t="s">
        <v>72</v>
      </c>
      <c r="AS28" s="65">
        <f>SUM(AJ29:AJ48)</f>
        <v>0</v>
      </c>
      <c r="AT28" s="65">
        <f>SUM(AK29:AK48)</f>
        <v>0</v>
      </c>
      <c r="AU28" s="65">
        <f>SUM(AL29:AL48)</f>
        <v>0</v>
      </c>
    </row>
    <row r="29" spans="1:64" x14ac:dyDescent="0.25">
      <c r="A29" s="34" t="s">
        <v>86</v>
      </c>
      <c r="B29" s="41" t="s">
        <v>267</v>
      </c>
      <c r="C29" s="146" t="s">
        <v>480</v>
      </c>
      <c r="D29" s="147"/>
      <c r="E29" s="147"/>
      <c r="F29" s="147"/>
      <c r="G29" s="147"/>
      <c r="H29" s="41" t="s">
        <v>892</v>
      </c>
      <c r="I29" s="76">
        <v>25.184999999999999</v>
      </c>
      <c r="J29" s="60">
        <v>0</v>
      </c>
      <c r="K29" s="60">
        <f>I29*J29</f>
        <v>0</v>
      </c>
      <c r="L29" s="53" t="s">
        <v>906</v>
      </c>
      <c r="M29" s="17"/>
      <c r="Z29" s="28">
        <f>IF(AQ29="5",BJ29,0)</f>
        <v>0</v>
      </c>
      <c r="AB29" s="28">
        <f>IF(AQ29="1",BH29,0)</f>
        <v>0</v>
      </c>
      <c r="AC29" s="28">
        <f>IF(AQ29="1",BI29,0)</f>
        <v>0</v>
      </c>
      <c r="AD29" s="28">
        <f>IF(AQ29="7",BH29,0)</f>
        <v>0</v>
      </c>
      <c r="AE29" s="28">
        <f>IF(AQ29="7",BI29,0)</f>
        <v>0</v>
      </c>
      <c r="AF29" s="28">
        <f>IF(AQ29="2",BH29,0)</f>
        <v>0</v>
      </c>
      <c r="AG29" s="28">
        <f>IF(AQ29="2",BI29,0)</f>
        <v>0</v>
      </c>
      <c r="AH29" s="28">
        <f>IF(AQ29="0",BJ29,0)</f>
        <v>0</v>
      </c>
      <c r="AI29" s="56" t="s">
        <v>72</v>
      </c>
      <c r="AJ29" s="60">
        <f>IF(AN29=0,K29,0)</f>
        <v>0</v>
      </c>
      <c r="AK29" s="60">
        <f>IF(AN29=15,K29,0)</f>
        <v>0</v>
      </c>
      <c r="AL29" s="60">
        <f>IF(AN29=21,K29,0)</f>
        <v>0</v>
      </c>
      <c r="AN29" s="28">
        <v>21</v>
      </c>
      <c r="AO29" s="28">
        <f>J29*0.918615563197238</f>
        <v>0</v>
      </c>
      <c r="AP29" s="28">
        <f>J29*(1-0.918615563197238)</f>
        <v>0</v>
      </c>
      <c r="AQ29" s="57" t="s">
        <v>82</v>
      </c>
      <c r="AV29" s="28">
        <f>AW29+AX29</f>
        <v>0</v>
      </c>
      <c r="AW29" s="28">
        <f>I29*AO29</f>
        <v>0</v>
      </c>
      <c r="AX29" s="28">
        <f>I29*AP29</f>
        <v>0</v>
      </c>
      <c r="AY29" s="59" t="s">
        <v>920</v>
      </c>
      <c r="AZ29" s="59" t="s">
        <v>954</v>
      </c>
      <c r="BA29" s="56" t="s">
        <v>966</v>
      </c>
      <c r="BC29" s="28">
        <f>AW29+AX29</f>
        <v>0</v>
      </c>
      <c r="BD29" s="28">
        <f>J29/(100-BE29)*100</f>
        <v>0</v>
      </c>
      <c r="BE29" s="28">
        <v>0</v>
      </c>
      <c r="BF29" s="28">
        <f>29</f>
        <v>29</v>
      </c>
      <c r="BH29" s="60">
        <f>I29*AO29</f>
        <v>0</v>
      </c>
      <c r="BI29" s="60">
        <f>I29*AP29</f>
        <v>0</v>
      </c>
      <c r="BJ29" s="60">
        <f>I29*J29</f>
        <v>0</v>
      </c>
      <c r="BK29" s="60" t="s">
        <v>971</v>
      </c>
      <c r="BL29" s="28">
        <v>27</v>
      </c>
    </row>
    <row r="30" spans="1:64" x14ac:dyDescent="0.25">
      <c r="A30" s="17"/>
      <c r="C30" s="148" t="s">
        <v>481</v>
      </c>
      <c r="D30" s="149"/>
      <c r="E30" s="149"/>
      <c r="F30" s="149"/>
      <c r="G30" s="149"/>
      <c r="I30" s="77">
        <v>9.8190000000000008</v>
      </c>
      <c r="L30" s="14"/>
      <c r="M30" s="17"/>
    </row>
    <row r="31" spans="1:64" x14ac:dyDescent="0.25">
      <c r="A31" s="17"/>
      <c r="C31" s="148" t="s">
        <v>482</v>
      </c>
      <c r="D31" s="149"/>
      <c r="E31" s="149"/>
      <c r="F31" s="149"/>
      <c r="G31" s="149"/>
      <c r="I31" s="77">
        <v>12.102</v>
      </c>
      <c r="L31" s="14"/>
      <c r="M31" s="17"/>
    </row>
    <row r="32" spans="1:64" x14ac:dyDescent="0.25">
      <c r="A32" s="17"/>
      <c r="C32" s="148" t="s">
        <v>483</v>
      </c>
      <c r="D32" s="149"/>
      <c r="E32" s="149"/>
      <c r="F32" s="149"/>
      <c r="G32" s="149"/>
      <c r="I32" s="77">
        <v>1.5389999999999999</v>
      </c>
      <c r="L32" s="14"/>
      <c r="M32" s="17"/>
    </row>
    <row r="33" spans="1:64" x14ac:dyDescent="0.25">
      <c r="A33" s="17"/>
      <c r="C33" s="148" t="s">
        <v>484</v>
      </c>
      <c r="D33" s="149"/>
      <c r="E33" s="149"/>
      <c r="F33" s="149"/>
      <c r="G33" s="149"/>
      <c r="I33" s="77">
        <v>1.7250000000000001</v>
      </c>
      <c r="L33" s="14"/>
      <c r="M33" s="17"/>
    </row>
    <row r="34" spans="1:64" x14ac:dyDescent="0.25">
      <c r="A34" s="34" t="s">
        <v>87</v>
      </c>
      <c r="B34" s="41" t="s">
        <v>268</v>
      </c>
      <c r="C34" s="146" t="s">
        <v>485</v>
      </c>
      <c r="D34" s="147"/>
      <c r="E34" s="147"/>
      <c r="F34" s="147"/>
      <c r="G34" s="147"/>
      <c r="H34" s="41" t="s">
        <v>892</v>
      </c>
      <c r="I34" s="76">
        <v>25.184999999999999</v>
      </c>
      <c r="J34" s="60">
        <v>0</v>
      </c>
      <c r="K34" s="60">
        <f>I34*J34</f>
        <v>0</v>
      </c>
      <c r="L34" s="53" t="s">
        <v>906</v>
      </c>
      <c r="M34" s="17"/>
      <c r="Z34" s="28">
        <f>IF(AQ34="5",BJ34,0)</f>
        <v>0</v>
      </c>
      <c r="AB34" s="28">
        <f>IF(AQ34="1",BH34,0)</f>
        <v>0</v>
      </c>
      <c r="AC34" s="28">
        <f>IF(AQ34="1",BI34,0)</f>
        <v>0</v>
      </c>
      <c r="AD34" s="28">
        <f>IF(AQ34="7",BH34,0)</f>
        <v>0</v>
      </c>
      <c r="AE34" s="28">
        <f>IF(AQ34="7",BI34,0)</f>
        <v>0</v>
      </c>
      <c r="AF34" s="28">
        <f>IF(AQ34="2",BH34,0)</f>
        <v>0</v>
      </c>
      <c r="AG34" s="28">
        <f>IF(AQ34="2",BI34,0)</f>
        <v>0</v>
      </c>
      <c r="AH34" s="28">
        <f>IF(AQ34="0",BJ34,0)</f>
        <v>0</v>
      </c>
      <c r="AI34" s="56" t="s">
        <v>72</v>
      </c>
      <c r="AJ34" s="60">
        <f>IF(AN34=0,K34,0)</f>
        <v>0</v>
      </c>
      <c r="AK34" s="60">
        <f>IF(AN34=15,K34,0)</f>
        <v>0</v>
      </c>
      <c r="AL34" s="60">
        <f>IF(AN34=21,K34,0)</f>
        <v>0</v>
      </c>
      <c r="AN34" s="28">
        <v>21</v>
      </c>
      <c r="AO34" s="28">
        <f>J34*0.534309917211024</f>
        <v>0</v>
      </c>
      <c r="AP34" s="28">
        <f>J34*(1-0.534309917211024)</f>
        <v>0</v>
      </c>
      <c r="AQ34" s="57" t="s">
        <v>82</v>
      </c>
      <c r="AV34" s="28">
        <f>AW34+AX34</f>
        <v>0</v>
      </c>
      <c r="AW34" s="28">
        <f>I34*AO34</f>
        <v>0</v>
      </c>
      <c r="AX34" s="28">
        <f>I34*AP34</f>
        <v>0</v>
      </c>
      <c r="AY34" s="59" t="s">
        <v>920</v>
      </c>
      <c r="AZ34" s="59" t="s">
        <v>954</v>
      </c>
      <c r="BA34" s="56" t="s">
        <v>966</v>
      </c>
      <c r="BC34" s="28">
        <f>AW34+AX34</f>
        <v>0</v>
      </c>
      <c r="BD34" s="28">
        <f>J34/(100-BE34)*100</f>
        <v>0</v>
      </c>
      <c r="BE34" s="28">
        <v>0</v>
      </c>
      <c r="BF34" s="28">
        <f>34</f>
        <v>34</v>
      </c>
      <c r="BH34" s="60">
        <f>I34*AO34</f>
        <v>0</v>
      </c>
      <c r="BI34" s="60">
        <f>I34*AP34</f>
        <v>0</v>
      </c>
      <c r="BJ34" s="60">
        <f>I34*J34</f>
        <v>0</v>
      </c>
      <c r="BK34" s="60" t="s">
        <v>971</v>
      </c>
      <c r="BL34" s="28">
        <v>27</v>
      </c>
    </row>
    <row r="35" spans="1:64" x14ac:dyDescent="0.25">
      <c r="A35" s="17"/>
      <c r="C35" s="148" t="s">
        <v>481</v>
      </c>
      <c r="D35" s="149"/>
      <c r="E35" s="149"/>
      <c r="F35" s="149"/>
      <c r="G35" s="149"/>
      <c r="I35" s="77">
        <v>9.8190000000000008</v>
      </c>
      <c r="L35" s="14"/>
      <c r="M35" s="17"/>
    </row>
    <row r="36" spans="1:64" x14ac:dyDescent="0.25">
      <c r="A36" s="17"/>
      <c r="C36" s="148" t="s">
        <v>482</v>
      </c>
      <c r="D36" s="149"/>
      <c r="E36" s="149"/>
      <c r="F36" s="149"/>
      <c r="G36" s="149"/>
      <c r="I36" s="77">
        <v>12.102</v>
      </c>
      <c r="L36" s="14"/>
      <c r="M36" s="17"/>
    </row>
    <row r="37" spans="1:64" x14ac:dyDescent="0.25">
      <c r="A37" s="17"/>
      <c r="C37" s="148" t="s">
        <v>483</v>
      </c>
      <c r="D37" s="149"/>
      <c r="E37" s="149"/>
      <c r="F37" s="149"/>
      <c r="G37" s="149"/>
      <c r="I37" s="77">
        <v>1.5389999999999999</v>
      </c>
      <c r="L37" s="14"/>
      <c r="M37" s="17"/>
    </row>
    <row r="38" spans="1:64" x14ac:dyDescent="0.25">
      <c r="A38" s="17"/>
      <c r="C38" s="148" t="s">
        <v>484</v>
      </c>
      <c r="D38" s="149"/>
      <c r="E38" s="149"/>
      <c r="F38" s="149"/>
      <c r="G38" s="149"/>
      <c r="I38" s="77">
        <v>1.7250000000000001</v>
      </c>
      <c r="L38" s="14"/>
      <c r="M38" s="17"/>
    </row>
    <row r="39" spans="1:64" x14ac:dyDescent="0.25">
      <c r="A39" s="34" t="s">
        <v>88</v>
      </c>
      <c r="B39" s="41" t="s">
        <v>269</v>
      </c>
      <c r="C39" s="146" t="s">
        <v>486</v>
      </c>
      <c r="D39" s="147"/>
      <c r="E39" s="147"/>
      <c r="F39" s="147"/>
      <c r="G39" s="147"/>
      <c r="H39" s="41" t="s">
        <v>893</v>
      </c>
      <c r="I39" s="76">
        <v>0.57399999999999995</v>
      </c>
      <c r="J39" s="60">
        <v>0</v>
      </c>
      <c r="K39" s="60">
        <f>I39*J39</f>
        <v>0</v>
      </c>
      <c r="L39" s="53" t="s">
        <v>906</v>
      </c>
      <c r="M39" s="17"/>
      <c r="Z39" s="28">
        <f>IF(AQ39="5",BJ39,0)</f>
        <v>0</v>
      </c>
      <c r="AB39" s="28">
        <f>IF(AQ39="1",BH39,0)</f>
        <v>0</v>
      </c>
      <c r="AC39" s="28">
        <f>IF(AQ39="1",BI39,0)</f>
        <v>0</v>
      </c>
      <c r="AD39" s="28">
        <f>IF(AQ39="7",BH39,0)</f>
        <v>0</v>
      </c>
      <c r="AE39" s="28">
        <f>IF(AQ39="7",BI39,0)</f>
        <v>0</v>
      </c>
      <c r="AF39" s="28">
        <f>IF(AQ39="2",BH39,0)</f>
        <v>0</v>
      </c>
      <c r="AG39" s="28">
        <f>IF(AQ39="2",BI39,0)</f>
        <v>0</v>
      </c>
      <c r="AH39" s="28">
        <f>IF(AQ39="0",BJ39,0)</f>
        <v>0</v>
      </c>
      <c r="AI39" s="56" t="s">
        <v>72</v>
      </c>
      <c r="AJ39" s="60">
        <f>IF(AN39=0,K39,0)</f>
        <v>0</v>
      </c>
      <c r="AK39" s="60">
        <f>IF(AN39=15,K39,0)</f>
        <v>0</v>
      </c>
      <c r="AL39" s="60">
        <f>IF(AN39=21,K39,0)</f>
        <v>0</v>
      </c>
      <c r="AN39" s="28">
        <v>21</v>
      </c>
      <c r="AO39" s="28">
        <f>J39*0.783083888604135</f>
        <v>0</v>
      </c>
      <c r="AP39" s="28">
        <f>J39*(1-0.783083888604135)</f>
        <v>0</v>
      </c>
      <c r="AQ39" s="57" t="s">
        <v>82</v>
      </c>
      <c r="AV39" s="28">
        <f>AW39+AX39</f>
        <v>0</v>
      </c>
      <c r="AW39" s="28">
        <f>I39*AO39</f>
        <v>0</v>
      </c>
      <c r="AX39" s="28">
        <f>I39*AP39</f>
        <v>0</v>
      </c>
      <c r="AY39" s="59" t="s">
        <v>920</v>
      </c>
      <c r="AZ39" s="59" t="s">
        <v>954</v>
      </c>
      <c r="BA39" s="56" t="s">
        <v>966</v>
      </c>
      <c r="BC39" s="28">
        <f>AW39+AX39</f>
        <v>0</v>
      </c>
      <c r="BD39" s="28">
        <f>J39/(100-BE39)*100</f>
        <v>0</v>
      </c>
      <c r="BE39" s="28">
        <v>0</v>
      </c>
      <c r="BF39" s="28">
        <f>39</f>
        <v>39</v>
      </c>
      <c r="BH39" s="60">
        <f>I39*AO39</f>
        <v>0</v>
      </c>
      <c r="BI39" s="60">
        <f>I39*AP39</f>
        <v>0</v>
      </c>
      <c r="BJ39" s="60">
        <f>I39*J39</f>
        <v>0</v>
      </c>
      <c r="BK39" s="60" t="s">
        <v>971</v>
      </c>
      <c r="BL39" s="28">
        <v>27</v>
      </c>
    </row>
    <row r="40" spans="1:64" x14ac:dyDescent="0.25">
      <c r="A40" s="17"/>
      <c r="B40" s="42" t="s">
        <v>265</v>
      </c>
      <c r="C40" s="150" t="s">
        <v>487</v>
      </c>
      <c r="D40" s="151"/>
      <c r="E40" s="151"/>
      <c r="F40" s="151"/>
      <c r="G40" s="151"/>
      <c r="H40" s="151"/>
      <c r="I40" s="151"/>
      <c r="J40" s="151"/>
      <c r="K40" s="151"/>
      <c r="L40" s="152"/>
      <c r="M40" s="17"/>
    </row>
    <row r="41" spans="1:64" x14ac:dyDescent="0.25">
      <c r="A41" s="17"/>
      <c r="C41" s="148" t="s">
        <v>488</v>
      </c>
      <c r="D41" s="149"/>
      <c r="E41" s="149"/>
      <c r="F41" s="149"/>
      <c r="G41" s="149"/>
      <c r="I41" s="77">
        <v>0.20899999999999999</v>
      </c>
      <c r="L41" s="14"/>
      <c r="M41" s="17"/>
    </row>
    <row r="42" spans="1:64" x14ac:dyDescent="0.25">
      <c r="A42" s="17"/>
      <c r="C42" s="148" t="s">
        <v>489</v>
      </c>
      <c r="D42" s="149"/>
      <c r="E42" s="149"/>
      <c r="F42" s="149"/>
      <c r="G42" s="149"/>
      <c r="I42" s="77">
        <v>0.25800000000000001</v>
      </c>
      <c r="L42" s="14"/>
      <c r="M42" s="17"/>
    </row>
    <row r="43" spans="1:64" x14ac:dyDescent="0.25">
      <c r="A43" s="17"/>
      <c r="C43" s="148" t="s">
        <v>490</v>
      </c>
      <c r="D43" s="149"/>
      <c r="E43" s="149"/>
      <c r="F43" s="149"/>
      <c r="G43" s="149"/>
      <c r="I43" s="77">
        <v>3.3000000000000002E-2</v>
      </c>
      <c r="L43" s="14"/>
      <c r="M43" s="17"/>
    </row>
    <row r="44" spans="1:64" x14ac:dyDescent="0.25">
      <c r="A44" s="17"/>
      <c r="C44" s="148" t="s">
        <v>491</v>
      </c>
      <c r="D44" s="149"/>
      <c r="E44" s="149"/>
      <c r="F44" s="149"/>
      <c r="G44" s="149"/>
      <c r="I44" s="77">
        <v>3.6999999999999998E-2</v>
      </c>
      <c r="L44" s="14"/>
      <c r="M44" s="17"/>
    </row>
    <row r="45" spans="1:64" x14ac:dyDescent="0.25">
      <c r="A45" s="17"/>
      <c r="C45" s="148" t="s">
        <v>492</v>
      </c>
      <c r="D45" s="149"/>
      <c r="E45" s="149"/>
      <c r="F45" s="149"/>
      <c r="G45" s="149"/>
      <c r="I45" s="77">
        <v>3.6999999999999998E-2</v>
      </c>
      <c r="L45" s="14"/>
      <c r="M45" s="17"/>
    </row>
    <row r="46" spans="1:64" x14ac:dyDescent="0.25">
      <c r="A46" s="34" t="s">
        <v>89</v>
      </c>
      <c r="B46" s="41" t="s">
        <v>270</v>
      </c>
      <c r="C46" s="146" t="s">
        <v>493</v>
      </c>
      <c r="D46" s="147"/>
      <c r="E46" s="147"/>
      <c r="F46" s="147"/>
      <c r="G46" s="147"/>
      <c r="H46" s="41" t="s">
        <v>891</v>
      </c>
      <c r="I46" s="76">
        <v>3.24</v>
      </c>
      <c r="J46" s="60">
        <v>0</v>
      </c>
      <c r="K46" s="60">
        <f>I46*J46</f>
        <v>0</v>
      </c>
      <c r="L46" s="53" t="s">
        <v>906</v>
      </c>
      <c r="M46" s="17"/>
      <c r="Z46" s="28">
        <f>IF(AQ46="5",BJ46,0)</f>
        <v>0</v>
      </c>
      <c r="AB46" s="28">
        <f>IF(AQ46="1",BH46,0)</f>
        <v>0</v>
      </c>
      <c r="AC46" s="28">
        <f>IF(AQ46="1",BI46,0)</f>
        <v>0</v>
      </c>
      <c r="AD46" s="28">
        <f>IF(AQ46="7",BH46,0)</f>
        <v>0</v>
      </c>
      <c r="AE46" s="28">
        <f>IF(AQ46="7",BI46,0)</f>
        <v>0</v>
      </c>
      <c r="AF46" s="28">
        <f>IF(AQ46="2",BH46,0)</f>
        <v>0</v>
      </c>
      <c r="AG46" s="28">
        <f>IF(AQ46="2",BI46,0)</f>
        <v>0</v>
      </c>
      <c r="AH46" s="28">
        <f>IF(AQ46="0",BJ46,0)</f>
        <v>0</v>
      </c>
      <c r="AI46" s="56" t="s">
        <v>72</v>
      </c>
      <c r="AJ46" s="60">
        <f>IF(AN46=0,K46,0)</f>
        <v>0</v>
      </c>
      <c r="AK46" s="60">
        <f>IF(AN46=15,K46,0)</f>
        <v>0</v>
      </c>
      <c r="AL46" s="60">
        <f>IF(AN46=21,K46,0)</f>
        <v>0</v>
      </c>
      <c r="AN46" s="28">
        <v>21</v>
      </c>
      <c r="AO46" s="28">
        <f>J46*0.204314187607305</f>
        <v>0</v>
      </c>
      <c r="AP46" s="28">
        <f>J46*(1-0.204314187607305)</f>
        <v>0</v>
      </c>
      <c r="AQ46" s="57" t="s">
        <v>82</v>
      </c>
      <c r="AV46" s="28">
        <f>AW46+AX46</f>
        <v>0</v>
      </c>
      <c r="AW46" s="28">
        <f>I46*AO46</f>
        <v>0</v>
      </c>
      <c r="AX46" s="28">
        <f>I46*AP46</f>
        <v>0</v>
      </c>
      <c r="AY46" s="59" t="s">
        <v>920</v>
      </c>
      <c r="AZ46" s="59" t="s">
        <v>954</v>
      </c>
      <c r="BA46" s="56" t="s">
        <v>966</v>
      </c>
      <c r="BC46" s="28">
        <f>AW46+AX46</f>
        <v>0</v>
      </c>
      <c r="BD46" s="28">
        <f>J46/(100-BE46)*100</f>
        <v>0</v>
      </c>
      <c r="BE46" s="28">
        <v>0</v>
      </c>
      <c r="BF46" s="28">
        <f>46</f>
        <v>46</v>
      </c>
      <c r="BH46" s="60">
        <f>I46*AO46</f>
        <v>0</v>
      </c>
      <c r="BI46" s="60">
        <f>I46*AP46</f>
        <v>0</v>
      </c>
      <c r="BJ46" s="60">
        <f>I46*J46</f>
        <v>0</v>
      </c>
      <c r="BK46" s="60" t="s">
        <v>971</v>
      </c>
      <c r="BL46" s="28">
        <v>27</v>
      </c>
    </row>
    <row r="47" spans="1:64" x14ac:dyDescent="0.25">
      <c r="A47" s="17"/>
      <c r="C47" s="148" t="s">
        <v>494</v>
      </c>
      <c r="D47" s="149"/>
      <c r="E47" s="149"/>
      <c r="F47" s="149"/>
      <c r="G47" s="149"/>
      <c r="I47" s="77">
        <v>3.24</v>
      </c>
      <c r="L47" s="14"/>
      <c r="M47" s="17"/>
    </row>
    <row r="48" spans="1:64" x14ac:dyDescent="0.25">
      <c r="A48" s="34" t="s">
        <v>90</v>
      </c>
      <c r="B48" s="41" t="s">
        <v>271</v>
      </c>
      <c r="C48" s="146" t="s">
        <v>495</v>
      </c>
      <c r="D48" s="147"/>
      <c r="E48" s="147"/>
      <c r="F48" s="147"/>
      <c r="G48" s="147"/>
      <c r="H48" s="41" t="s">
        <v>891</v>
      </c>
      <c r="I48" s="76">
        <v>3.24</v>
      </c>
      <c r="J48" s="60">
        <v>0</v>
      </c>
      <c r="K48" s="60">
        <f>I48*J48</f>
        <v>0</v>
      </c>
      <c r="L48" s="53" t="s">
        <v>906</v>
      </c>
      <c r="M48" s="17"/>
      <c r="Z48" s="28">
        <f>IF(AQ48="5",BJ48,0)</f>
        <v>0</v>
      </c>
      <c r="AB48" s="28">
        <f>IF(AQ48="1",BH48,0)</f>
        <v>0</v>
      </c>
      <c r="AC48" s="28">
        <f>IF(AQ48="1",BI48,0)</f>
        <v>0</v>
      </c>
      <c r="AD48" s="28">
        <f>IF(AQ48="7",BH48,0)</f>
        <v>0</v>
      </c>
      <c r="AE48" s="28">
        <f>IF(AQ48="7",BI48,0)</f>
        <v>0</v>
      </c>
      <c r="AF48" s="28">
        <f>IF(AQ48="2",BH48,0)</f>
        <v>0</v>
      </c>
      <c r="AG48" s="28">
        <f>IF(AQ48="2",BI48,0)</f>
        <v>0</v>
      </c>
      <c r="AH48" s="28">
        <f>IF(AQ48="0",BJ48,0)</f>
        <v>0</v>
      </c>
      <c r="AI48" s="56" t="s">
        <v>72</v>
      </c>
      <c r="AJ48" s="60">
        <f>IF(AN48=0,K48,0)</f>
        <v>0</v>
      </c>
      <c r="AK48" s="60">
        <f>IF(AN48=15,K48,0)</f>
        <v>0</v>
      </c>
      <c r="AL48" s="60">
        <f>IF(AN48=21,K48,0)</f>
        <v>0</v>
      </c>
      <c r="AN48" s="28">
        <v>21</v>
      </c>
      <c r="AO48" s="28">
        <f>J48*0</f>
        <v>0</v>
      </c>
      <c r="AP48" s="28">
        <f>J48*(1-0)</f>
        <v>0</v>
      </c>
      <c r="AQ48" s="57" t="s">
        <v>82</v>
      </c>
      <c r="AV48" s="28">
        <f>AW48+AX48</f>
        <v>0</v>
      </c>
      <c r="AW48" s="28">
        <f>I48*AO48</f>
        <v>0</v>
      </c>
      <c r="AX48" s="28">
        <f>I48*AP48</f>
        <v>0</v>
      </c>
      <c r="AY48" s="59" t="s">
        <v>920</v>
      </c>
      <c r="AZ48" s="59" t="s">
        <v>954</v>
      </c>
      <c r="BA48" s="56" t="s">
        <v>966</v>
      </c>
      <c r="BC48" s="28">
        <f>AW48+AX48</f>
        <v>0</v>
      </c>
      <c r="BD48" s="28">
        <f>J48/(100-BE48)*100</f>
        <v>0</v>
      </c>
      <c r="BE48" s="28">
        <v>0</v>
      </c>
      <c r="BF48" s="28">
        <f>48</f>
        <v>48</v>
      </c>
      <c r="BH48" s="60">
        <f>I48*AO48</f>
        <v>0</v>
      </c>
      <c r="BI48" s="60">
        <f>I48*AP48</f>
        <v>0</v>
      </c>
      <c r="BJ48" s="60">
        <f>I48*J48</f>
        <v>0</v>
      </c>
      <c r="BK48" s="60" t="s">
        <v>971</v>
      </c>
      <c r="BL48" s="28">
        <v>27</v>
      </c>
    </row>
    <row r="49" spans="1:64" x14ac:dyDescent="0.25">
      <c r="A49" s="33"/>
      <c r="B49" s="40" t="s">
        <v>112</v>
      </c>
      <c r="C49" s="144" t="s">
        <v>496</v>
      </c>
      <c r="D49" s="145"/>
      <c r="E49" s="145"/>
      <c r="F49" s="145"/>
      <c r="G49" s="145"/>
      <c r="H49" s="46" t="s">
        <v>58</v>
      </c>
      <c r="I49" s="46" t="s">
        <v>58</v>
      </c>
      <c r="J49" s="46" t="s">
        <v>58</v>
      </c>
      <c r="K49" s="65">
        <f>SUM(K50:K80)</f>
        <v>0</v>
      </c>
      <c r="L49" s="52"/>
      <c r="M49" s="17"/>
      <c r="AI49" s="56" t="s">
        <v>72</v>
      </c>
      <c r="AS49" s="65">
        <f>SUM(AJ50:AJ80)</f>
        <v>0</v>
      </c>
      <c r="AT49" s="65">
        <f>SUM(AK50:AK80)</f>
        <v>0</v>
      </c>
      <c r="AU49" s="65">
        <f>SUM(AL50:AL80)</f>
        <v>0</v>
      </c>
    </row>
    <row r="50" spans="1:64" x14ac:dyDescent="0.25">
      <c r="A50" s="34" t="s">
        <v>91</v>
      </c>
      <c r="B50" s="41" t="s">
        <v>272</v>
      </c>
      <c r="C50" s="146" t="s">
        <v>497</v>
      </c>
      <c r="D50" s="147"/>
      <c r="E50" s="147"/>
      <c r="F50" s="147"/>
      <c r="G50" s="147"/>
      <c r="H50" s="41" t="s">
        <v>891</v>
      </c>
      <c r="I50" s="76">
        <v>20.7</v>
      </c>
      <c r="J50" s="60">
        <v>0</v>
      </c>
      <c r="K50" s="60">
        <f>I50*J50</f>
        <v>0</v>
      </c>
      <c r="L50" s="53" t="s">
        <v>906</v>
      </c>
      <c r="M50" s="17"/>
      <c r="Z50" s="28">
        <f>IF(AQ50="5",BJ50,0)</f>
        <v>0</v>
      </c>
      <c r="AB50" s="28">
        <f>IF(AQ50="1",BH50,0)</f>
        <v>0</v>
      </c>
      <c r="AC50" s="28">
        <f>IF(AQ50="1",BI50,0)</f>
        <v>0</v>
      </c>
      <c r="AD50" s="28">
        <f>IF(AQ50="7",BH50,0)</f>
        <v>0</v>
      </c>
      <c r="AE50" s="28">
        <f>IF(AQ50="7",BI50,0)</f>
        <v>0</v>
      </c>
      <c r="AF50" s="28">
        <f>IF(AQ50="2",BH50,0)</f>
        <v>0</v>
      </c>
      <c r="AG50" s="28">
        <f>IF(AQ50="2",BI50,0)</f>
        <v>0</v>
      </c>
      <c r="AH50" s="28">
        <f>IF(AQ50="0",BJ50,0)</f>
        <v>0</v>
      </c>
      <c r="AI50" s="56" t="s">
        <v>72</v>
      </c>
      <c r="AJ50" s="60">
        <f>IF(AN50=0,K50,0)</f>
        <v>0</v>
      </c>
      <c r="AK50" s="60">
        <f>IF(AN50=15,K50,0)</f>
        <v>0</v>
      </c>
      <c r="AL50" s="60">
        <f>IF(AN50=21,K50,0)</f>
        <v>0</v>
      </c>
      <c r="AN50" s="28">
        <v>21</v>
      </c>
      <c r="AO50" s="28">
        <f>J50*0.839778260869565</f>
        <v>0</v>
      </c>
      <c r="AP50" s="28">
        <f>J50*(1-0.839778260869565)</f>
        <v>0</v>
      </c>
      <c r="AQ50" s="57" t="s">
        <v>82</v>
      </c>
      <c r="AV50" s="28">
        <f>AW50+AX50</f>
        <v>0</v>
      </c>
      <c r="AW50" s="28">
        <f>I50*AO50</f>
        <v>0</v>
      </c>
      <c r="AX50" s="28">
        <f>I50*AP50</f>
        <v>0</v>
      </c>
      <c r="AY50" s="59" t="s">
        <v>921</v>
      </c>
      <c r="AZ50" s="59" t="s">
        <v>955</v>
      </c>
      <c r="BA50" s="56" t="s">
        <v>966</v>
      </c>
      <c r="BC50" s="28">
        <f>AW50+AX50</f>
        <v>0</v>
      </c>
      <c r="BD50" s="28">
        <f>J50/(100-BE50)*100</f>
        <v>0</v>
      </c>
      <c r="BE50" s="28">
        <v>0</v>
      </c>
      <c r="BF50" s="28">
        <f>50</f>
        <v>50</v>
      </c>
      <c r="BH50" s="60">
        <f>I50*AO50</f>
        <v>0</v>
      </c>
      <c r="BI50" s="60">
        <f>I50*AP50</f>
        <v>0</v>
      </c>
      <c r="BJ50" s="60">
        <f>I50*J50</f>
        <v>0</v>
      </c>
      <c r="BK50" s="60" t="s">
        <v>971</v>
      </c>
      <c r="BL50" s="28">
        <v>31</v>
      </c>
    </row>
    <row r="51" spans="1:64" x14ac:dyDescent="0.25">
      <c r="A51" s="17"/>
      <c r="B51" s="42" t="s">
        <v>265</v>
      </c>
      <c r="C51" s="150" t="s">
        <v>498</v>
      </c>
      <c r="D51" s="151"/>
      <c r="E51" s="151"/>
      <c r="F51" s="151"/>
      <c r="G51" s="151"/>
      <c r="H51" s="151"/>
      <c r="I51" s="151"/>
      <c r="J51" s="151"/>
      <c r="K51" s="151"/>
      <c r="L51" s="152"/>
      <c r="M51" s="17"/>
    </row>
    <row r="52" spans="1:64" x14ac:dyDescent="0.25">
      <c r="A52" s="17"/>
      <c r="C52" s="148" t="s">
        <v>499</v>
      </c>
      <c r="D52" s="149"/>
      <c r="E52" s="149"/>
      <c r="F52" s="149"/>
      <c r="G52" s="149"/>
      <c r="I52" s="77">
        <v>28.05</v>
      </c>
      <c r="L52" s="14"/>
      <c r="M52" s="17"/>
    </row>
    <row r="53" spans="1:64" x14ac:dyDescent="0.25">
      <c r="A53" s="17"/>
      <c r="C53" s="148" t="s">
        <v>500</v>
      </c>
      <c r="D53" s="149"/>
      <c r="E53" s="149"/>
      <c r="F53" s="149"/>
      <c r="G53" s="149"/>
      <c r="I53" s="77">
        <v>-5.25</v>
      </c>
      <c r="L53" s="14"/>
      <c r="M53" s="17"/>
    </row>
    <row r="54" spans="1:64" x14ac:dyDescent="0.25">
      <c r="A54" s="17"/>
      <c r="C54" s="148" t="s">
        <v>501</v>
      </c>
      <c r="D54" s="149"/>
      <c r="E54" s="149"/>
      <c r="F54" s="149"/>
      <c r="G54" s="149"/>
      <c r="I54" s="77">
        <v>-2.1</v>
      </c>
      <c r="L54" s="14"/>
      <c r="M54" s="17"/>
    </row>
    <row r="55" spans="1:64" x14ac:dyDescent="0.25">
      <c r="A55" s="34" t="s">
        <v>92</v>
      </c>
      <c r="B55" s="41" t="s">
        <v>273</v>
      </c>
      <c r="C55" s="146" t="s">
        <v>502</v>
      </c>
      <c r="D55" s="147"/>
      <c r="E55" s="147"/>
      <c r="F55" s="147"/>
      <c r="G55" s="147"/>
      <c r="H55" s="41" t="s">
        <v>891</v>
      </c>
      <c r="I55" s="76">
        <v>27.82</v>
      </c>
      <c r="J55" s="60">
        <v>0</v>
      </c>
      <c r="K55" s="60">
        <f>I55*J55</f>
        <v>0</v>
      </c>
      <c r="L55" s="53" t="s">
        <v>906</v>
      </c>
      <c r="M55" s="17"/>
      <c r="Z55" s="28">
        <f>IF(AQ55="5",BJ55,0)</f>
        <v>0</v>
      </c>
      <c r="AB55" s="28">
        <f>IF(AQ55="1",BH55,0)</f>
        <v>0</v>
      </c>
      <c r="AC55" s="28">
        <f>IF(AQ55="1",BI55,0)</f>
        <v>0</v>
      </c>
      <c r="AD55" s="28">
        <f>IF(AQ55="7",BH55,0)</f>
        <v>0</v>
      </c>
      <c r="AE55" s="28">
        <f>IF(AQ55="7",BI55,0)</f>
        <v>0</v>
      </c>
      <c r="AF55" s="28">
        <f>IF(AQ55="2",BH55,0)</f>
        <v>0</v>
      </c>
      <c r="AG55" s="28">
        <f>IF(AQ55="2",BI55,0)</f>
        <v>0</v>
      </c>
      <c r="AH55" s="28">
        <f>IF(AQ55="0",BJ55,0)</f>
        <v>0</v>
      </c>
      <c r="AI55" s="56" t="s">
        <v>72</v>
      </c>
      <c r="AJ55" s="60">
        <f>IF(AN55=0,K55,0)</f>
        <v>0</v>
      </c>
      <c r="AK55" s="60">
        <f>IF(AN55=15,K55,0)</f>
        <v>0</v>
      </c>
      <c r="AL55" s="60">
        <f>IF(AN55=21,K55,0)</f>
        <v>0</v>
      </c>
      <c r="AN55" s="28">
        <v>21</v>
      </c>
      <c r="AO55" s="28">
        <f>J55*0.793137827379561</f>
        <v>0</v>
      </c>
      <c r="AP55" s="28">
        <f>J55*(1-0.793137827379561)</f>
        <v>0</v>
      </c>
      <c r="AQ55" s="57" t="s">
        <v>82</v>
      </c>
      <c r="AV55" s="28">
        <f>AW55+AX55</f>
        <v>0</v>
      </c>
      <c r="AW55" s="28">
        <f>I55*AO55</f>
        <v>0</v>
      </c>
      <c r="AX55" s="28">
        <f>I55*AP55</f>
        <v>0</v>
      </c>
      <c r="AY55" s="59" t="s">
        <v>921</v>
      </c>
      <c r="AZ55" s="59" t="s">
        <v>955</v>
      </c>
      <c r="BA55" s="56" t="s">
        <v>966</v>
      </c>
      <c r="BC55" s="28">
        <f>AW55+AX55</f>
        <v>0</v>
      </c>
      <c r="BD55" s="28">
        <f>J55/(100-BE55)*100</f>
        <v>0</v>
      </c>
      <c r="BE55" s="28">
        <v>0</v>
      </c>
      <c r="BF55" s="28">
        <f>55</f>
        <v>55</v>
      </c>
      <c r="BH55" s="60">
        <f>I55*AO55</f>
        <v>0</v>
      </c>
      <c r="BI55" s="60">
        <f>I55*AP55</f>
        <v>0</v>
      </c>
      <c r="BJ55" s="60">
        <f>I55*J55</f>
        <v>0</v>
      </c>
      <c r="BK55" s="60" t="s">
        <v>971</v>
      </c>
      <c r="BL55" s="28">
        <v>31</v>
      </c>
    </row>
    <row r="56" spans="1:64" x14ac:dyDescent="0.25">
      <c r="A56" s="17"/>
      <c r="B56" s="42" t="s">
        <v>265</v>
      </c>
      <c r="C56" s="150" t="s">
        <v>503</v>
      </c>
      <c r="D56" s="151"/>
      <c r="E56" s="151"/>
      <c r="F56" s="151"/>
      <c r="G56" s="151"/>
      <c r="H56" s="151"/>
      <c r="I56" s="151"/>
      <c r="J56" s="151"/>
      <c r="K56" s="151"/>
      <c r="L56" s="152"/>
      <c r="M56" s="17"/>
    </row>
    <row r="57" spans="1:64" x14ac:dyDescent="0.25">
      <c r="A57" s="17"/>
      <c r="C57" s="148" t="s">
        <v>504</v>
      </c>
      <c r="D57" s="149"/>
      <c r="E57" s="149"/>
      <c r="F57" s="149"/>
      <c r="G57" s="149"/>
      <c r="I57" s="77">
        <v>27.82</v>
      </c>
      <c r="L57" s="14"/>
      <c r="M57" s="17"/>
    </row>
    <row r="58" spans="1:64" x14ac:dyDescent="0.25">
      <c r="A58" s="34" t="s">
        <v>93</v>
      </c>
      <c r="B58" s="41" t="s">
        <v>274</v>
      </c>
      <c r="C58" s="146" t="s">
        <v>505</v>
      </c>
      <c r="D58" s="147"/>
      <c r="E58" s="147"/>
      <c r="F58" s="147"/>
      <c r="G58" s="147"/>
      <c r="H58" s="41" t="s">
        <v>891</v>
      </c>
      <c r="I58" s="76">
        <v>6.95</v>
      </c>
      <c r="J58" s="60">
        <v>0</v>
      </c>
      <c r="K58" s="60">
        <f>I58*J58</f>
        <v>0</v>
      </c>
      <c r="L58" s="53" t="s">
        <v>906</v>
      </c>
      <c r="M58" s="17"/>
      <c r="Z58" s="28">
        <f>IF(AQ58="5",BJ58,0)</f>
        <v>0</v>
      </c>
      <c r="AB58" s="28">
        <f>IF(AQ58="1",BH58,0)</f>
        <v>0</v>
      </c>
      <c r="AC58" s="28">
        <f>IF(AQ58="1",BI58,0)</f>
        <v>0</v>
      </c>
      <c r="AD58" s="28">
        <f>IF(AQ58="7",BH58,0)</f>
        <v>0</v>
      </c>
      <c r="AE58" s="28">
        <f>IF(AQ58="7",BI58,0)</f>
        <v>0</v>
      </c>
      <c r="AF58" s="28">
        <f>IF(AQ58="2",BH58,0)</f>
        <v>0</v>
      </c>
      <c r="AG58" s="28">
        <f>IF(AQ58="2",BI58,0)</f>
        <v>0</v>
      </c>
      <c r="AH58" s="28">
        <f>IF(AQ58="0",BJ58,0)</f>
        <v>0</v>
      </c>
      <c r="AI58" s="56" t="s">
        <v>72</v>
      </c>
      <c r="AJ58" s="60">
        <f>IF(AN58=0,K58,0)</f>
        <v>0</v>
      </c>
      <c r="AK58" s="60">
        <f>IF(AN58=15,K58,0)</f>
        <v>0</v>
      </c>
      <c r="AL58" s="60">
        <f>IF(AN58=21,K58,0)</f>
        <v>0</v>
      </c>
      <c r="AN58" s="28">
        <v>21</v>
      </c>
      <c r="AO58" s="28">
        <f>J58*0.830634854771784</f>
        <v>0</v>
      </c>
      <c r="AP58" s="28">
        <f>J58*(1-0.830634854771784)</f>
        <v>0</v>
      </c>
      <c r="AQ58" s="57" t="s">
        <v>82</v>
      </c>
      <c r="AV58" s="28">
        <f>AW58+AX58</f>
        <v>0</v>
      </c>
      <c r="AW58" s="28">
        <f>I58*AO58</f>
        <v>0</v>
      </c>
      <c r="AX58" s="28">
        <f>I58*AP58</f>
        <v>0</v>
      </c>
      <c r="AY58" s="59" t="s">
        <v>921</v>
      </c>
      <c r="AZ58" s="59" t="s">
        <v>955</v>
      </c>
      <c r="BA58" s="56" t="s">
        <v>966</v>
      </c>
      <c r="BC58" s="28">
        <f>AW58+AX58</f>
        <v>0</v>
      </c>
      <c r="BD58" s="28">
        <f>J58/(100-BE58)*100</f>
        <v>0</v>
      </c>
      <c r="BE58" s="28">
        <v>0</v>
      </c>
      <c r="BF58" s="28">
        <f>58</f>
        <v>58</v>
      </c>
      <c r="BH58" s="60">
        <f>I58*AO58</f>
        <v>0</v>
      </c>
      <c r="BI58" s="60">
        <f>I58*AP58</f>
        <v>0</v>
      </c>
      <c r="BJ58" s="60">
        <f>I58*J58</f>
        <v>0</v>
      </c>
      <c r="BK58" s="60" t="s">
        <v>971</v>
      </c>
      <c r="BL58" s="28">
        <v>31</v>
      </c>
    </row>
    <row r="59" spans="1:64" x14ac:dyDescent="0.25">
      <c r="A59" s="17"/>
      <c r="C59" s="148" t="s">
        <v>506</v>
      </c>
      <c r="D59" s="149"/>
      <c r="E59" s="149"/>
      <c r="F59" s="149"/>
      <c r="G59" s="149"/>
      <c r="I59" s="77">
        <v>12.6</v>
      </c>
      <c r="L59" s="14"/>
      <c r="M59" s="17"/>
    </row>
    <row r="60" spans="1:64" x14ac:dyDescent="0.25">
      <c r="A60" s="17"/>
      <c r="C60" s="148" t="s">
        <v>507</v>
      </c>
      <c r="D60" s="149"/>
      <c r="E60" s="149"/>
      <c r="F60" s="149"/>
      <c r="G60" s="149"/>
      <c r="I60" s="77">
        <v>-5.65</v>
      </c>
      <c r="L60" s="14"/>
      <c r="M60" s="17"/>
    </row>
    <row r="61" spans="1:64" x14ac:dyDescent="0.25">
      <c r="A61" s="34" t="s">
        <v>94</v>
      </c>
      <c r="B61" s="41" t="s">
        <v>275</v>
      </c>
      <c r="C61" s="146" t="s">
        <v>508</v>
      </c>
      <c r="D61" s="147"/>
      <c r="E61" s="147"/>
      <c r="F61" s="147"/>
      <c r="G61" s="147"/>
      <c r="H61" s="41" t="s">
        <v>894</v>
      </c>
      <c r="I61" s="76">
        <v>10</v>
      </c>
      <c r="J61" s="60">
        <v>0</v>
      </c>
      <c r="K61" s="60">
        <f>I61*J61</f>
        <v>0</v>
      </c>
      <c r="L61" s="53" t="s">
        <v>906</v>
      </c>
      <c r="M61" s="17"/>
      <c r="Z61" s="28">
        <f>IF(AQ61="5",BJ61,0)</f>
        <v>0</v>
      </c>
      <c r="AB61" s="28">
        <f>IF(AQ61="1",BH61,0)</f>
        <v>0</v>
      </c>
      <c r="AC61" s="28">
        <f>IF(AQ61="1",BI61,0)</f>
        <v>0</v>
      </c>
      <c r="AD61" s="28">
        <f>IF(AQ61="7",BH61,0)</f>
        <v>0</v>
      </c>
      <c r="AE61" s="28">
        <f>IF(AQ61="7",BI61,0)</f>
        <v>0</v>
      </c>
      <c r="AF61" s="28">
        <f>IF(AQ61="2",BH61,0)</f>
        <v>0</v>
      </c>
      <c r="AG61" s="28">
        <f>IF(AQ61="2",BI61,0)</f>
        <v>0</v>
      </c>
      <c r="AH61" s="28">
        <f>IF(AQ61="0",BJ61,0)</f>
        <v>0</v>
      </c>
      <c r="AI61" s="56" t="s">
        <v>72</v>
      </c>
      <c r="AJ61" s="60">
        <f>IF(AN61=0,K61,0)</f>
        <v>0</v>
      </c>
      <c r="AK61" s="60">
        <f>IF(AN61=15,K61,0)</f>
        <v>0</v>
      </c>
      <c r="AL61" s="60">
        <f>IF(AN61=21,K61,0)</f>
        <v>0</v>
      </c>
      <c r="AN61" s="28">
        <v>21</v>
      </c>
      <c r="AO61" s="28">
        <f>J61*0.523642644371574</f>
        <v>0</v>
      </c>
      <c r="AP61" s="28">
        <f>J61*(1-0.523642644371574)</f>
        <v>0</v>
      </c>
      <c r="AQ61" s="57" t="s">
        <v>82</v>
      </c>
      <c r="AV61" s="28">
        <f>AW61+AX61</f>
        <v>0</v>
      </c>
      <c r="AW61" s="28">
        <f>I61*AO61</f>
        <v>0</v>
      </c>
      <c r="AX61" s="28">
        <f>I61*AP61</f>
        <v>0</v>
      </c>
      <c r="AY61" s="59" t="s">
        <v>921</v>
      </c>
      <c r="AZ61" s="59" t="s">
        <v>955</v>
      </c>
      <c r="BA61" s="56" t="s">
        <v>966</v>
      </c>
      <c r="BC61" s="28">
        <f>AW61+AX61</f>
        <v>0</v>
      </c>
      <c r="BD61" s="28">
        <f>J61/(100-BE61)*100</f>
        <v>0</v>
      </c>
      <c r="BE61" s="28">
        <v>0</v>
      </c>
      <c r="BF61" s="28">
        <f>61</f>
        <v>61</v>
      </c>
      <c r="BH61" s="60">
        <f>I61*AO61</f>
        <v>0</v>
      </c>
      <c r="BI61" s="60">
        <f>I61*AP61</f>
        <v>0</v>
      </c>
      <c r="BJ61" s="60">
        <f>I61*J61</f>
        <v>0</v>
      </c>
      <c r="BK61" s="60" t="s">
        <v>971</v>
      </c>
      <c r="BL61" s="28">
        <v>31</v>
      </c>
    </row>
    <row r="62" spans="1:64" x14ac:dyDescent="0.25">
      <c r="A62" s="17"/>
      <c r="B62" s="42" t="s">
        <v>265</v>
      </c>
      <c r="C62" s="150" t="s">
        <v>509</v>
      </c>
      <c r="D62" s="151"/>
      <c r="E62" s="151"/>
      <c r="F62" s="151"/>
      <c r="G62" s="151"/>
      <c r="H62" s="151"/>
      <c r="I62" s="151"/>
      <c r="J62" s="151"/>
      <c r="K62" s="151"/>
      <c r="L62" s="152"/>
      <c r="M62" s="17"/>
    </row>
    <row r="63" spans="1:64" x14ac:dyDescent="0.25">
      <c r="A63" s="34" t="s">
        <v>95</v>
      </c>
      <c r="B63" s="41" t="s">
        <v>276</v>
      </c>
      <c r="C63" s="146" t="s">
        <v>510</v>
      </c>
      <c r="D63" s="147"/>
      <c r="E63" s="147"/>
      <c r="F63" s="147"/>
      <c r="G63" s="147"/>
      <c r="H63" s="41" t="s">
        <v>894</v>
      </c>
      <c r="I63" s="76">
        <v>12</v>
      </c>
      <c r="J63" s="60">
        <v>0</v>
      </c>
      <c r="K63" s="60">
        <f>I63*J63</f>
        <v>0</v>
      </c>
      <c r="L63" s="53" t="s">
        <v>906</v>
      </c>
      <c r="M63" s="17"/>
      <c r="Z63" s="28">
        <f>IF(AQ63="5",BJ63,0)</f>
        <v>0</v>
      </c>
      <c r="AB63" s="28">
        <f>IF(AQ63="1",BH63,0)</f>
        <v>0</v>
      </c>
      <c r="AC63" s="28">
        <f>IF(AQ63="1",BI63,0)</f>
        <v>0</v>
      </c>
      <c r="AD63" s="28">
        <f>IF(AQ63="7",BH63,0)</f>
        <v>0</v>
      </c>
      <c r="AE63" s="28">
        <f>IF(AQ63="7",BI63,0)</f>
        <v>0</v>
      </c>
      <c r="AF63" s="28">
        <f>IF(AQ63="2",BH63,0)</f>
        <v>0</v>
      </c>
      <c r="AG63" s="28">
        <f>IF(AQ63="2",BI63,0)</f>
        <v>0</v>
      </c>
      <c r="AH63" s="28">
        <f>IF(AQ63="0",BJ63,0)</f>
        <v>0</v>
      </c>
      <c r="AI63" s="56" t="s">
        <v>72</v>
      </c>
      <c r="AJ63" s="60">
        <f>IF(AN63=0,K63,0)</f>
        <v>0</v>
      </c>
      <c r="AK63" s="60">
        <f>IF(AN63=15,K63,0)</f>
        <v>0</v>
      </c>
      <c r="AL63" s="60">
        <f>IF(AN63=21,K63,0)</f>
        <v>0</v>
      </c>
      <c r="AN63" s="28">
        <v>21</v>
      </c>
      <c r="AO63" s="28">
        <f>J63*0.51681403913715</f>
        <v>0</v>
      </c>
      <c r="AP63" s="28">
        <f>J63*(1-0.51681403913715)</f>
        <v>0</v>
      </c>
      <c r="AQ63" s="57" t="s">
        <v>82</v>
      </c>
      <c r="AV63" s="28">
        <f>AW63+AX63</f>
        <v>0</v>
      </c>
      <c r="AW63" s="28">
        <f>I63*AO63</f>
        <v>0</v>
      </c>
      <c r="AX63" s="28">
        <f>I63*AP63</f>
        <v>0</v>
      </c>
      <c r="AY63" s="59" t="s">
        <v>921</v>
      </c>
      <c r="AZ63" s="59" t="s">
        <v>955</v>
      </c>
      <c r="BA63" s="56" t="s">
        <v>966</v>
      </c>
      <c r="BC63" s="28">
        <f>AW63+AX63</f>
        <v>0</v>
      </c>
      <c r="BD63" s="28">
        <f>J63/(100-BE63)*100</f>
        <v>0</v>
      </c>
      <c r="BE63" s="28">
        <v>0</v>
      </c>
      <c r="BF63" s="28">
        <f>63</f>
        <v>63</v>
      </c>
      <c r="BH63" s="60">
        <f>I63*AO63</f>
        <v>0</v>
      </c>
      <c r="BI63" s="60">
        <f>I63*AP63</f>
        <v>0</v>
      </c>
      <c r="BJ63" s="60">
        <f>I63*J63</f>
        <v>0</v>
      </c>
      <c r="BK63" s="60" t="s">
        <v>971</v>
      </c>
      <c r="BL63" s="28">
        <v>31</v>
      </c>
    </row>
    <row r="64" spans="1:64" x14ac:dyDescent="0.25">
      <c r="A64" s="17"/>
      <c r="B64" s="42" t="s">
        <v>265</v>
      </c>
      <c r="C64" s="150" t="s">
        <v>509</v>
      </c>
      <c r="D64" s="151"/>
      <c r="E64" s="151"/>
      <c r="F64" s="151"/>
      <c r="G64" s="151"/>
      <c r="H64" s="151"/>
      <c r="I64" s="151"/>
      <c r="J64" s="151"/>
      <c r="K64" s="151"/>
      <c r="L64" s="152"/>
      <c r="M64" s="17"/>
    </row>
    <row r="65" spans="1:64" x14ac:dyDescent="0.25">
      <c r="A65" s="34" t="s">
        <v>96</v>
      </c>
      <c r="B65" s="41" t="s">
        <v>277</v>
      </c>
      <c r="C65" s="146" t="s">
        <v>511</v>
      </c>
      <c r="D65" s="147"/>
      <c r="E65" s="147"/>
      <c r="F65" s="147"/>
      <c r="G65" s="147"/>
      <c r="H65" s="41" t="s">
        <v>895</v>
      </c>
      <c r="I65" s="76">
        <v>36.5</v>
      </c>
      <c r="J65" s="60">
        <v>0</v>
      </c>
      <c r="K65" s="60">
        <f>I65*J65</f>
        <v>0</v>
      </c>
      <c r="L65" s="53" t="s">
        <v>906</v>
      </c>
      <c r="M65" s="17"/>
      <c r="Z65" s="28">
        <f>IF(AQ65="5",BJ65,0)</f>
        <v>0</v>
      </c>
      <c r="AB65" s="28">
        <f>IF(AQ65="1",BH65,0)</f>
        <v>0</v>
      </c>
      <c r="AC65" s="28">
        <f>IF(AQ65="1",BI65,0)</f>
        <v>0</v>
      </c>
      <c r="AD65" s="28">
        <f>IF(AQ65="7",BH65,0)</f>
        <v>0</v>
      </c>
      <c r="AE65" s="28">
        <f>IF(AQ65="7",BI65,0)</f>
        <v>0</v>
      </c>
      <c r="AF65" s="28">
        <f>IF(AQ65="2",BH65,0)</f>
        <v>0</v>
      </c>
      <c r="AG65" s="28">
        <f>IF(AQ65="2",BI65,0)</f>
        <v>0</v>
      </c>
      <c r="AH65" s="28">
        <f>IF(AQ65="0",BJ65,0)</f>
        <v>0</v>
      </c>
      <c r="AI65" s="56" t="s">
        <v>72</v>
      </c>
      <c r="AJ65" s="60">
        <f>IF(AN65=0,K65,0)</f>
        <v>0</v>
      </c>
      <c r="AK65" s="60">
        <f>IF(AN65=15,K65,0)</f>
        <v>0</v>
      </c>
      <c r="AL65" s="60">
        <f>IF(AN65=21,K65,0)</f>
        <v>0</v>
      </c>
      <c r="AN65" s="28">
        <v>21</v>
      </c>
      <c r="AO65" s="28">
        <f>J65*0.213582848837209</f>
        <v>0</v>
      </c>
      <c r="AP65" s="28">
        <f>J65*(1-0.213582848837209)</f>
        <v>0</v>
      </c>
      <c r="AQ65" s="57" t="s">
        <v>82</v>
      </c>
      <c r="AV65" s="28">
        <f>AW65+AX65</f>
        <v>0</v>
      </c>
      <c r="AW65" s="28">
        <f>I65*AO65</f>
        <v>0</v>
      </c>
      <c r="AX65" s="28">
        <f>I65*AP65</f>
        <v>0</v>
      </c>
      <c r="AY65" s="59" t="s">
        <v>921</v>
      </c>
      <c r="AZ65" s="59" t="s">
        <v>955</v>
      </c>
      <c r="BA65" s="56" t="s">
        <v>966</v>
      </c>
      <c r="BC65" s="28">
        <f>AW65+AX65</f>
        <v>0</v>
      </c>
      <c r="BD65" s="28">
        <f>J65/(100-BE65)*100</f>
        <v>0</v>
      </c>
      <c r="BE65" s="28">
        <v>0</v>
      </c>
      <c r="BF65" s="28">
        <f>65</f>
        <v>65</v>
      </c>
      <c r="BH65" s="60">
        <f>I65*AO65</f>
        <v>0</v>
      </c>
      <c r="BI65" s="60">
        <f>I65*AP65</f>
        <v>0</v>
      </c>
      <c r="BJ65" s="60">
        <f>I65*J65</f>
        <v>0</v>
      </c>
      <c r="BK65" s="60" t="s">
        <v>971</v>
      </c>
      <c r="BL65" s="28">
        <v>31</v>
      </c>
    </row>
    <row r="66" spans="1:64" x14ac:dyDescent="0.25">
      <c r="A66" s="17"/>
      <c r="B66" s="42" t="s">
        <v>265</v>
      </c>
      <c r="C66" s="150" t="s">
        <v>512</v>
      </c>
      <c r="D66" s="151"/>
      <c r="E66" s="151"/>
      <c r="F66" s="151"/>
      <c r="G66" s="151"/>
      <c r="H66" s="151"/>
      <c r="I66" s="151"/>
      <c r="J66" s="151"/>
      <c r="K66" s="151"/>
      <c r="L66" s="152"/>
      <c r="M66" s="17"/>
    </row>
    <row r="67" spans="1:64" x14ac:dyDescent="0.25">
      <c r="A67" s="34" t="s">
        <v>97</v>
      </c>
      <c r="B67" s="41" t="s">
        <v>278</v>
      </c>
      <c r="C67" s="146" t="s">
        <v>513</v>
      </c>
      <c r="D67" s="147"/>
      <c r="E67" s="147"/>
      <c r="F67" s="147"/>
      <c r="G67" s="147"/>
      <c r="H67" s="41" t="s">
        <v>895</v>
      </c>
      <c r="I67" s="76">
        <v>27.5</v>
      </c>
      <c r="J67" s="60">
        <v>0</v>
      </c>
      <c r="K67" s="60">
        <f>I67*J67</f>
        <v>0</v>
      </c>
      <c r="L67" s="53" t="s">
        <v>906</v>
      </c>
      <c r="M67" s="17"/>
      <c r="Z67" s="28">
        <f>IF(AQ67="5",BJ67,0)</f>
        <v>0</v>
      </c>
      <c r="AB67" s="28">
        <f>IF(AQ67="1",BH67,0)</f>
        <v>0</v>
      </c>
      <c r="AC67" s="28">
        <f>IF(AQ67="1",BI67,0)</f>
        <v>0</v>
      </c>
      <c r="AD67" s="28">
        <f>IF(AQ67="7",BH67,0)</f>
        <v>0</v>
      </c>
      <c r="AE67" s="28">
        <f>IF(AQ67="7",BI67,0)</f>
        <v>0</v>
      </c>
      <c r="AF67" s="28">
        <f>IF(AQ67="2",BH67,0)</f>
        <v>0</v>
      </c>
      <c r="AG67" s="28">
        <f>IF(AQ67="2",BI67,0)</f>
        <v>0</v>
      </c>
      <c r="AH67" s="28">
        <f>IF(AQ67="0",BJ67,0)</f>
        <v>0</v>
      </c>
      <c r="AI67" s="56" t="s">
        <v>72</v>
      </c>
      <c r="AJ67" s="60">
        <f>IF(AN67=0,K67,0)</f>
        <v>0</v>
      </c>
      <c r="AK67" s="60">
        <f>IF(AN67=15,K67,0)</f>
        <v>0</v>
      </c>
      <c r="AL67" s="60">
        <f>IF(AN67=21,K67,0)</f>
        <v>0</v>
      </c>
      <c r="AN67" s="28">
        <v>21</v>
      </c>
      <c r="AO67" s="28">
        <f>J67*0.188050909090909</f>
        <v>0</v>
      </c>
      <c r="AP67" s="28">
        <f>J67*(1-0.188050909090909)</f>
        <v>0</v>
      </c>
      <c r="AQ67" s="57" t="s">
        <v>82</v>
      </c>
      <c r="AV67" s="28">
        <f>AW67+AX67</f>
        <v>0</v>
      </c>
      <c r="AW67" s="28">
        <f>I67*AO67</f>
        <v>0</v>
      </c>
      <c r="AX67" s="28">
        <f>I67*AP67</f>
        <v>0</v>
      </c>
      <c r="AY67" s="59" t="s">
        <v>921</v>
      </c>
      <c r="AZ67" s="59" t="s">
        <v>955</v>
      </c>
      <c r="BA67" s="56" t="s">
        <v>966</v>
      </c>
      <c r="BC67" s="28">
        <f>AW67+AX67</f>
        <v>0</v>
      </c>
      <c r="BD67" s="28">
        <f>J67/(100-BE67)*100</f>
        <v>0</v>
      </c>
      <c r="BE67" s="28">
        <v>0</v>
      </c>
      <c r="BF67" s="28">
        <f>67</f>
        <v>67</v>
      </c>
      <c r="BH67" s="60">
        <f>I67*AO67</f>
        <v>0</v>
      </c>
      <c r="BI67" s="60">
        <f>I67*AP67</f>
        <v>0</v>
      </c>
      <c r="BJ67" s="60">
        <f>I67*J67</f>
        <v>0</v>
      </c>
      <c r="BK67" s="60" t="s">
        <v>971</v>
      </c>
      <c r="BL67" s="28">
        <v>31</v>
      </c>
    </row>
    <row r="68" spans="1:64" x14ac:dyDescent="0.25">
      <c r="A68" s="17"/>
      <c r="B68" s="42" t="s">
        <v>265</v>
      </c>
      <c r="C68" s="150" t="s">
        <v>514</v>
      </c>
      <c r="D68" s="151"/>
      <c r="E68" s="151"/>
      <c r="F68" s="151"/>
      <c r="G68" s="151"/>
      <c r="H68" s="151"/>
      <c r="I68" s="151"/>
      <c r="J68" s="151"/>
      <c r="K68" s="151"/>
      <c r="L68" s="152"/>
      <c r="M68" s="17"/>
    </row>
    <row r="69" spans="1:64" x14ac:dyDescent="0.25">
      <c r="A69" s="34" t="s">
        <v>98</v>
      </c>
      <c r="B69" s="41" t="s">
        <v>279</v>
      </c>
      <c r="C69" s="146" t="s">
        <v>515</v>
      </c>
      <c r="D69" s="147"/>
      <c r="E69" s="147"/>
      <c r="F69" s="147"/>
      <c r="G69" s="147"/>
      <c r="H69" s="41" t="s">
        <v>895</v>
      </c>
      <c r="I69" s="76">
        <v>23</v>
      </c>
      <c r="J69" s="60">
        <v>0</v>
      </c>
      <c r="K69" s="60">
        <f>I69*J69</f>
        <v>0</v>
      </c>
      <c r="L69" s="53" t="s">
        <v>906</v>
      </c>
      <c r="M69" s="17"/>
      <c r="Z69" s="28">
        <f>IF(AQ69="5",BJ69,0)</f>
        <v>0</v>
      </c>
      <c r="AB69" s="28">
        <f>IF(AQ69="1",BH69,0)</f>
        <v>0</v>
      </c>
      <c r="AC69" s="28">
        <f>IF(AQ69="1",BI69,0)</f>
        <v>0</v>
      </c>
      <c r="AD69" s="28">
        <f>IF(AQ69="7",BH69,0)</f>
        <v>0</v>
      </c>
      <c r="AE69" s="28">
        <f>IF(AQ69="7",BI69,0)</f>
        <v>0</v>
      </c>
      <c r="AF69" s="28">
        <f>IF(AQ69="2",BH69,0)</f>
        <v>0</v>
      </c>
      <c r="AG69" s="28">
        <f>IF(AQ69="2",BI69,0)</f>
        <v>0</v>
      </c>
      <c r="AH69" s="28">
        <f>IF(AQ69="0",BJ69,0)</f>
        <v>0</v>
      </c>
      <c r="AI69" s="56" t="s">
        <v>72</v>
      </c>
      <c r="AJ69" s="60">
        <f>IF(AN69=0,K69,0)</f>
        <v>0</v>
      </c>
      <c r="AK69" s="60">
        <f>IF(AN69=15,K69,0)</f>
        <v>0</v>
      </c>
      <c r="AL69" s="60">
        <f>IF(AN69=21,K69,0)</f>
        <v>0</v>
      </c>
      <c r="AN69" s="28">
        <v>21</v>
      </c>
      <c r="AO69" s="28">
        <f>J69*0.220157303370787</f>
        <v>0</v>
      </c>
      <c r="AP69" s="28">
        <f>J69*(1-0.220157303370787)</f>
        <v>0</v>
      </c>
      <c r="AQ69" s="57" t="s">
        <v>82</v>
      </c>
      <c r="AV69" s="28">
        <f>AW69+AX69</f>
        <v>0</v>
      </c>
      <c r="AW69" s="28">
        <f>I69*AO69</f>
        <v>0</v>
      </c>
      <c r="AX69" s="28">
        <f>I69*AP69</f>
        <v>0</v>
      </c>
      <c r="AY69" s="59" t="s">
        <v>921</v>
      </c>
      <c r="AZ69" s="59" t="s">
        <v>955</v>
      </c>
      <c r="BA69" s="56" t="s">
        <v>966</v>
      </c>
      <c r="BC69" s="28">
        <f>AW69+AX69</f>
        <v>0</v>
      </c>
      <c r="BD69" s="28">
        <f>J69/(100-BE69)*100</f>
        <v>0</v>
      </c>
      <c r="BE69" s="28">
        <v>0</v>
      </c>
      <c r="BF69" s="28">
        <f>69</f>
        <v>69</v>
      </c>
      <c r="BH69" s="60">
        <f>I69*AO69</f>
        <v>0</v>
      </c>
      <c r="BI69" s="60">
        <f>I69*AP69</f>
        <v>0</v>
      </c>
      <c r="BJ69" s="60">
        <f>I69*J69</f>
        <v>0</v>
      </c>
      <c r="BK69" s="60" t="s">
        <v>971</v>
      </c>
      <c r="BL69" s="28">
        <v>31</v>
      </c>
    </row>
    <row r="70" spans="1:64" x14ac:dyDescent="0.25">
      <c r="A70" s="17"/>
      <c r="B70" s="42" t="s">
        <v>265</v>
      </c>
      <c r="C70" s="150" t="s">
        <v>516</v>
      </c>
      <c r="D70" s="151"/>
      <c r="E70" s="151"/>
      <c r="F70" s="151"/>
      <c r="G70" s="151"/>
      <c r="H70" s="151"/>
      <c r="I70" s="151"/>
      <c r="J70" s="151"/>
      <c r="K70" s="151"/>
      <c r="L70" s="152"/>
      <c r="M70" s="17"/>
    </row>
    <row r="71" spans="1:64" x14ac:dyDescent="0.25">
      <c r="A71" s="17"/>
      <c r="C71" s="148" t="s">
        <v>517</v>
      </c>
      <c r="D71" s="149"/>
      <c r="E71" s="149"/>
      <c r="F71" s="149"/>
      <c r="G71" s="149"/>
      <c r="I71" s="77">
        <v>23</v>
      </c>
      <c r="L71" s="14"/>
      <c r="M71" s="17"/>
    </row>
    <row r="72" spans="1:64" x14ac:dyDescent="0.25">
      <c r="A72" s="34" t="s">
        <v>99</v>
      </c>
      <c r="B72" s="41" t="s">
        <v>280</v>
      </c>
      <c r="C72" s="146" t="s">
        <v>518</v>
      </c>
      <c r="D72" s="147"/>
      <c r="E72" s="147"/>
      <c r="F72" s="147"/>
      <c r="G72" s="147"/>
      <c r="H72" s="41" t="s">
        <v>895</v>
      </c>
      <c r="I72" s="76">
        <v>8</v>
      </c>
      <c r="J72" s="60">
        <v>0</v>
      </c>
      <c r="K72" s="60">
        <f>I72*J72</f>
        <v>0</v>
      </c>
      <c r="L72" s="53" t="s">
        <v>906</v>
      </c>
      <c r="M72" s="17"/>
      <c r="Z72" s="28">
        <f>IF(AQ72="5",BJ72,0)</f>
        <v>0</v>
      </c>
      <c r="AB72" s="28">
        <f>IF(AQ72="1",BH72,0)</f>
        <v>0</v>
      </c>
      <c r="AC72" s="28">
        <f>IF(AQ72="1",BI72,0)</f>
        <v>0</v>
      </c>
      <c r="AD72" s="28">
        <f>IF(AQ72="7",BH72,0)</f>
        <v>0</v>
      </c>
      <c r="AE72" s="28">
        <f>IF(AQ72="7",BI72,0)</f>
        <v>0</v>
      </c>
      <c r="AF72" s="28">
        <f>IF(AQ72="2",BH72,0)</f>
        <v>0</v>
      </c>
      <c r="AG72" s="28">
        <f>IF(AQ72="2",BI72,0)</f>
        <v>0</v>
      </c>
      <c r="AH72" s="28">
        <f>IF(AQ72="0",BJ72,0)</f>
        <v>0</v>
      </c>
      <c r="AI72" s="56" t="s">
        <v>72</v>
      </c>
      <c r="AJ72" s="60">
        <f>IF(AN72=0,K72,0)</f>
        <v>0</v>
      </c>
      <c r="AK72" s="60">
        <f>IF(AN72=15,K72,0)</f>
        <v>0</v>
      </c>
      <c r="AL72" s="60">
        <f>IF(AN72=21,K72,0)</f>
        <v>0</v>
      </c>
      <c r="AN72" s="28">
        <v>21</v>
      </c>
      <c r="AO72" s="28">
        <f>J72*0.221019310354552</f>
        <v>0</v>
      </c>
      <c r="AP72" s="28">
        <f>J72*(1-0.221019310354552)</f>
        <v>0</v>
      </c>
      <c r="AQ72" s="57" t="s">
        <v>82</v>
      </c>
      <c r="AV72" s="28">
        <f>AW72+AX72</f>
        <v>0</v>
      </c>
      <c r="AW72" s="28">
        <f>I72*AO72</f>
        <v>0</v>
      </c>
      <c r="AX72" s="28">
        <f>I72*AP72</f>
        <v>0</v>
      </c>
      <c r="AY72" s="59" t="s">
        <v>921</v>
      </c>
      <c r="AZ72" s="59" t="s">
        <v>955</v>
      </c>
      <c r="BA72" s="56" t="s">
        <v>966</v>
      </c>
      <c r="BC72" s="28">
        <f>AW72+AX72</f>
        <v>0</v>
      </c>
      <c r="BD72" s="28">
        <f>J72/(100-BE72)*100</f>
        <v>0</v>
      </c>
      <c r="BE72" s="28">
        <v>0</v>
      </c>
      <c r="BF72" s="28">
        <f>72</f>
        <v>72</v>
      </c>
      <c r="BH72" s="60">
        <f>I72*AO72</f>
        <v>0</v>
      </c>
      <c r="BI72" s="60">
        <f>I72*AP72</f>
        <v>0</v>
      </c>
      <c r="BJ72" s="60">
        <f>I72*J72</f>
        <v>0</v>
      </c>
      <c r="BK72" s="60" t="s">
        <v>971</v>
      </c>
      <c r="BL72" s="28">
        <v>31</v>
      </c>
    </row>
    <row r="73" spans="1:64" x14ac:dyDescent="0.25">
      <c r="A73" s="17"/>
      <c r="B73" s="42" t="s">
        <v>265</v>
      </c>
      <c r="C73" s="150" t="s">
        <v>519</v>
      </c>
      <c r="D73" s="151"/>
      <c r="E73" s="151"/>
      <c r="F73" s="151"/>
      <c r="G73" s="151"/>
      <c r="H73" s="151"/>
      <c r="I73" s="151"/>
      <c r="J73" s="151"/>
      <c r="K73" s="151"/>
      <c r="L73" s="152"/>
      <c r="M73" s="17"/>
    </row>
    <row r="74" spans="1:64" x14ac:dyDescent="0.25">
      <c r="A74" s="34" t="s">
        <v>100</v>
      </c>
      <c r="B74" s="41" t="s">
        <v>281</v>
      </c>
      <c r="C74" s="146" t="s">
        <v>518</v>
      </c>
      <c r="D74" s="147"/>
      <c r="E74" s="147"/>
      <c r="F74" s="147"/>
      <c r="G74" s="147"/>
      <c r="H74" s="41" t="s">
        <v>895</v>
      </c>
      <c r="I74" s="76">
        <v>4</v>
      </c>
      <c r="J74" s="60">
        <v>0</v>
      </c>
      <c r="K74" s="60">
        <f>I74*J74</f>
        <v>0</v>
      </c>
      <c r="L74" s="53" t="s">
        <v>906</v>
      </c>
      <c r="M74" s="17"/>
      <c r="Z74" s="28">
        <f>IF(AQ74="5",BJ74,0)</f>
        <v>0</v>
      </c>
      <c r="AB74" s="28">
        <f>IF(AQ74="1",BH74,0)</f>
        <v>0</v>
      </c>
      <c r="AC74" s="28">
        <f>IF(AQ74="1",BI74,0)</f>
        <v>0</v>
      </c>
      <c r="AD74" s="28">
        <f>IF(AQ74="7",BH74,0)</f>
        <v>0</v>
      </c>
      <c r="AE74" s="28">
        <f>IF(AQ74="7",BI74,0)</f>
        <v>0</v>
      </c>
      <c r="AF74" s="28">
        <f>IF(AQ74="2",BH74,0)</f>
        <v>0</v>
      </c>
      <c r="AG74" s="28">
        <f>IF(AQ74="2",BI74,0)</f>
        <v>0</v>
      </c>
      <c r="AH74" s="28">
        <f>IF(AQ74="0",BJ74,0)</f>
        <v>0</v>
      </c>
      <c r="AI74" s="56" t="s">
        <v>72</v>
      </c>
      <c r="AJ74" s="60">
        <f>IF(AN74=0,K74,0)</f>
        <v>0</v>
      </c>
      <c r="AK74" s="60">
        <f>IF(AN74=15,K74,0)</f>
        <v>0</v>
      </c>
      <c r="AL74" s="60">
        <f>IF(AN74=21,K74,0)</f>
        <v>0</v>
      </c>
      <c r="AN74" s="28">
        <v>21</v>
      </c>
      <c r="AO74" s="28">
        <f>J74*0.216605445746604</f>
        <v>0</v>
      </c>
      <c r="AP74" s="28">
        <f>J74*(1-0.216605445746604)</f>
        <v>0</v>
      </c>
      <c r="AQ74" s="57" t="s">
        <v>82</v>
      </c>
      <c r="AV74" s="28">
        <f>AW74+AX74</f>
        <v>0</v>
      </c>
      <c r="AW74" s="28">
        <f>I74*AO74</f>
        <v>0</v>
      </c>
      <c r="AX74" s="28">
        <f>I74*AP74</f>
        <v>0</v>
      </c>
      <c r="AY74" s="59" t="s">
        <v>921</v>
      </c>
      <c r="AZ74" s="59" t="s">
        <v>955</v>
      </c>
      <c r="BA74" s="56" t="s">
        <v>966</v>
      </c>
      <c r="BC74" s="28">
        <f>AW74+AX74</f>
        <v>0</v>
      </c>
      <c r="BD74" s="28">
        <f>J74/(100-BE74)*100</f>
        <v>0</v>
      </c>
      <c r="BE74" s="28">
        <v>0</v>
      </c>
      <c r="BF74" s="28">
        <f>74</f>
        <v>74</v>
      </c>
      <c r="BH74" s="60">
        <f>I74*AO74</f>
        <v>0</v>
      </c>
      <c r="BI74" s="60">
        <f>I74*AP74</f>
        <v>0</v>
      </c>
      <c r="BJ74" s="60">
        <f>I74*J74</f>
        <v>0</v>
      </c>
      <c r="BK74" s="60" t="s">
        <v>971</v>
      </c>
      <c r="BL74" s="28">
        <v>31</v>
      </c>
    </row>
    <row r="75" spans="1:64" x14ac:dyDescent="0.25">
      <c r="A75" s="17"/>
      <c r="B75" s="42" t="s">
        <v>265</v>
      </c>
      <c r="C75" s="150" t="s">
        <v>520</v>
      </c>
      <c r="D75" s="151"/>
      <c r="E75" s="151"/>
      <c r="F75" s="151"/>
      <c r="G75" s="151"/>
      <c r="H75" s="151"/>
      <c r="I75" s="151"/>
      <c r="J75" s="151"/>
      <c r="K75" s="151"/>
      <c r="L75" s="152"/>
      <c r="M75" s="17"/>
    </row>
    <row r="76" spans="1:64" x14ac:dyDescent="0.25">
      <c r="A76" s="34" t="s">
        <v>101</v>
      </c>
      <c r="B76" s="41" t="s">
        <v>282</v>
      </c>
      <c r="C76" s="146" t="s">
        <v>521</v>
      </c>
      <c r="D76" s="147"/>
      <c r="E76" s="147"/>
      <c r="F76" s="147"/>
      <c r="G76" s="147"/>
      <c r="H76" s="41" t="s">
        <v>895</v>
      </c>
      <c r="I76" s="76">
        <v>9.1</v>
      </c>
      <c r="J76" s="60">
        <v>0</v>
      </c>
      <c r="K76" s="60">
        <f>I76*J76</f>
        <v>0</v>
      </c>
      <c r="L76" s="53" t="s">
        <v>906</v>
      </c>
      <c r="M76" s="17"/>
      <c r="Z76" s="28">
        <f>IF(AQ76="5",BJ76,0)</f>
        <v>0</v>
      </c>
      <c r="AB76" s="28">
        <f>IF(AQ76="1",BH76,0)</f>
        <v>0</v>
      </c>
      <c r="AC76" s="28">
        <f>IF(AQ76="1",BI76,0)</f>
        <v>0</v>
      </c>
      <c r="AD76" s="28">
        <f>IF(AQ76="7",BH76,0)</f>
        <v>0</v>
      </c>
      <c r="AE76" s="28">
        <f>IF(AQ76="7",BI76,0)</f>
        <v>0</v>
      </c>
      <c r="AF76" s="28">
        <f>IF(AQ76="2",BH76,0)</f>
        <v>0</v>
      </c>
      <c r="AG76" s="28">
        <f>IF(AQ76="2",BI76,0)</f>
        <v>0</v>
      </c>
      <c r="AH76" s="28">
        <f>IF(AQ76="0",BJ76,0)</f>
        <v>0</v>
      </c>
      <c r="AI76" s="56" t="s">
        <v>72</v>
      </c>
      <c r="AJ76" s="60">
        <f>IF(AN76=0,K76,0)</f>
        <v>0</v>
      </c>
      <c r="AK76" s="60">
        <f>IF(AN76=15,K76,0)</f>
        <v>0</v>
      </c>
      <c r="AL76" s="60">
        <f>IF(AN76=21,K76,0)</f>
        <v>0</v>
      </c>
      <c r="AN76" s="28">
        <v>21</v>
      </c>
      <c r="AO76" s="28">
        <f>J76*0.870938555126893</f>
        <v>0</v>
      </c>
      <c r="AP76" s="28">
        <f>J76*(1-0.870938555126893)</f>
        <v>0</v>
      </c>
      <c r="AQ76" s="57" t="s">
        <v>82</v>
      </c>
      <c r="AV76" s="28">
        <f>AW76+AX76</f>
        <v>0</v>
      </c>
      <c r="AW76" s="28">
        <f>I76*AO76</f>
        <v>0</v>
      </c>
      <c r="AX76" s="28">
        <f>I76*AP76</f>
        <v>0</v>
      </c>
      <c r="AY76" s="59" t="s">
        <v>921</v>
      </c>
      <c r="AZ76" s="59" t="s">
        <v>955</v>
      </c>
      <c r="BA76" s="56" t="s">
        <v>966</v>
      </c>
      <c r="BC76" s="28">
        <f>AW76+AX76</f>
        <v>0</v>
      </c>
      <c r="BD76" s="28">
        <f>J76/(100-BE76)*100</f>
        <v>0</v>
      </c>
      <c r="BE76" s="28">
        <v>0</v>
      </c>
      <c r="BF76" s="28">
        <f>76</f>
        <v>76</v>
      </c>
      <c r="BH76" s="60">
        <f>I76*AO76</f>
        <v>0</v>
      </c>
      <c r="BI76" s="60">
        <f>I76*AP76</f>
        <v>0</v>
      </c>
      <c r="BJ76" s="60">
        <f>I76*J76</f>
        <v>0</v>
      </c>
      <c r="BK76" s="60" t="s">
        <v>971</v>
      </c>
      <c r="BL76" s="28">
        <v>31</v>
      </c>
    </row>
    <row r="77" spans="1:64" x14ac:dyDescent="0.25">
      <c r="A77" s="17"/>
      <c r="B77" s="42" t="s">
        <v>265</v>
      </c>
      <c r="C77" s="150" t="s">
        <v>522</v>
      </c>
      <c r="D77" s="151"/>
      <c r="E77" s="151"/>
      <c r="F77" s="151"/>
      <c r="G77" s="151"/>
      <c r="H77" s="151"/>
      <c r="I77" s="151"/>
      <c r="J77" s="151"/>
      <c r="K77" s="151"/>
      <c r="L77" s="152"/>
      <c r="M77" s="17"/>
    </row>
    <row r="78" spans="1:64" x14ac:dyDescent="0.25">
      <c r="A78" s="34" t="s">
        <v>102</v>
      </c>
      <c r="B78" s="41" t="s">
        <v>283</v>
      </c>
      <c r="C78" s="146" t="s">
        <v>523</v>
      </c>
      <c r="D78" s="147"/>
      <c r="E78" s="147"/>
      <c r="F78" s="147"/>
      <c r="G78" s="147"/>
      <c r="H78" s="41" t="s">
        <v>895</v>
      </c>
      <c r="I78" s="76">
        <v>4.95</v>
      </c>
      <c r="J78" s="60">
        <v>0</v>
      </c>
      <c r="K78" s="60">
        <f>I78*J78</f>
        <v>0</v>
      </c>
      <c r="L78" s="53" t="s">
        <v>906</v>
      </c>
      <c r="M78" s="17"/>
      <c r="Z78" s="28">
        <f>IF(AQ78="5",BJ78,0)</f>
        <v>0</v>
      </c>
      <c r="AB78" s="28">
        <f>IF(AQ78="1",BH78,0)</f>
        <v>0</v>
      </c>
      <c r="AC78" s="28">
        <f>IF(AQ78="1",BI78,0)</f>
        <v>0</v>
      </c>
      <c r="AD78" s="28">
        <f>IF(AQ78="7",BH78,0)</f>
        <v>0</v>
      </c>
      <c r="AE78" s="28">
        <f>IF(AQ78="7",BI78,0)</f>
        <v>0</v>
      </c>
      <c r="AF78" s="28">
        <f>IF(AQ78="2",BH78,0)</f>
        <v>0</v>
      </c>
      <c r="AG78" s="28">
        <f>IF(AQ78="2",BI78,0)</f>
        <v>0</v>
      </c>
      <c r="AH78" s="28">
        <f>IF(AQ78="0",BJ78,0)</f>
        <v>0</v>
      </c>
      <c r="AI78" s="56" t="s">
        <v>72</v>
      </c>
      <c r="AJ78" s="60">
        <f>IF(AN78=0,K78,0)</f>
        <v>0</v>
      </c>
      <c r="AK78" s="60">
        <f>IF(AN78=15,K78,0)</f>
        <v>0</v>
      </c>
      <c r="AL78" s="60">
        <f>IF(AN78=21,K78,0)</f>
        <v>0</v>
      </c>
      <c r="AN78" s="28">
        <v>21</v>
      </c>
      <c r="AO78" s="28">
        <f>J78*0</f>
        <v>0</v>
      </c>
      <c r="AP78" s="28">
        <f>J78*(1-0)</f>
        <v>0</v>
      </c>
      <c r="AQ78" s="57" t="s">
        <v>82</v>
      </c>
      <c r="AV78" s="28">
        <f>AW78+AX78</f>
        <v>0</v>
      </c>
      <c r="AW78" s="28">
        <f>I78*AO78</f>
        <v>0</v>
      </c>
      <c r="AX78" s="28">
        <f>I78*AP78</f>
        <v>0</v>
      </c>
      <c r="AY78" s="59" t="s">
        <v>921</v>
      </c>
      <c r="AZ78" s="59" t="s">
        <v>955</v>
      </c>
      <c r="BA78" s="56" t="s">
        <v>966</v>
      </c>
      <c r="BC78" s="28">
        <f>AW78+AX78</f>
        <v>0</v>
      </c>
      <c r="BD78" s="28">
        <f>J78/(100-BE78)*100</f>
        <v>0</v>
      </c>
      <c r="BE78" s="28">
        <v>0</v>
      </c>
      <c r="BF78" s="28">
        <f>78</f>
        <v>78</v>
      </c>
      <c r="BH78" s="60">
        <f>I78*AO78</f>
        <v>0</v>
      </c>
      <c r="BI78" s="60">
        <f>I78*AP78</f>
        <v>0</v>
      </c>
      <c r="BJ78" s="60">
        <f>I78*J78</f>
        <v>0</v>
      </c>
      <c r="BK78" s="60" t="s">
        <v>971</v>
      </c>
      <c r="BL78" s="28">
        <v>31</v>
      </c>
    </row>
    <row r="79" spans="1:64" x14ac:dyDescent="0.25">
      <c r="A79" s="17"/>
      <c r="C79" s="148" t="s">
        <v>524</v>
      </c>
      <c r="D79" s="149"/>
      <c r="E79" s="149"/>
      <c r="F79" s="149"/>
      <c r="G79" s="149"/>
      <c r="I79" s="77">
        <v>4.95</v>
      </c>
      <c r="L79" s="14"/>
      <c r="M79" s="17"/>
    </row>
    <row r="80" spans="1:64" x14ac:dyDescent="0.25">
      <c r="A80" s="34" t="s">
        <v>103</v>
      </c>
      <c r="B80" s="41" t="s">
        <v>284</v>
      </c>
      <c r="C80" s="146" t="s">
        <v>525</v>
      </c>
      <c r="D80" s="147"/>
      <c r="E80" s="147"/>
      <c r="F80" s="147"/>
      <c r="G80" s="147"/>
      <c r="H80" s="41" t="s">
        <v>891</v>
      </c>
      <c r="I80" s="76">
        <v>6.75</v>
      </c>
      <c r="J80" s="60">
        <v>0</v>
      </c>
      <c r="K80" s="60">
        <f>I80*J80</f>
        <v>0</v>
      </c>
      <c r="L80" s="53" t="s">
        <v>906</v>
      </c>
      <c r="M80" s="17"/>
      <c r="Z80" s="28">
        <f>IF(AQ80="5",BJ80,0)</f>
        <v>0</v>
      </c>
      <c r="AB80" s="28">
        <f>IF(AQ80="1",BH80,0)</f>
        <v>0</v>
      </c>
      <c r="AC80" s="28">
        <f>IF(AQ80="1",BI80,0)</f>
        <v>0</v>
      </c>
      <c r="AD80" s="28">
        <f>IF(AQ80="7",BH80,0)</f>
        <v>0</v>
      </c>
      <c r="AE80" s="28">
        <f>IF(AQ80="7",BI80,0)</f>
        <v>0</v>
      </c>
      <c r="AF80" s="28">
        <f>IF(AQ80="2",BH80,0)</f>
        <v>0</v>
      </c>
      <c r="AG80" s="28">
        <f>IF(AQ80="2",BI80,0)</f>
        <v>0</v>
      </c>
      <c r="AH80" s="28">
        <f>IF(AQ80="0",BJ80,0)</f>
        <v>0</v>
      </c>
      <c r="AI80" s="56" t="s">
        <v>72</v>
      </c>
      <c r="AJ80" s="60">
        <f>IF(AN80=0,K80,0)</f>
        <v>0</v>
      </c>
      <c r="AK80" s="60">
        <f>IF(AN80=15,K80,0)</f>
        <v>0</v>
      </c>
      <c r="AL80" s="60">
        <f>IF(AN80=21,K80,0)</f>
        <v>0</v>
      </c>
      <c r="AN80" s="28">
        <v>21</v>
      </c>
      <c r="AO80" s="28">
        <f>J80*0.550421686746988</f>
        <v>0</v>
      </c>
      <c r="AP80" s="28">
        <f>J80*(1-0.550421686746988)</f>
        <v>0</v>
      </c>
      <c r="AQ80" s="57" t="s">
        <v>82</v>
      </c>
      <c r="AV80" s="28">
        <f>AW80+AX80</f>
        <v>0</v>
      </c>
      <c r="AW80" s="28">
        <f>I80*AO80</f>
        <v>0</v>
      </c>
      <c r="AX80" s="28">
        <f>I80*AP80</f>
        <v>0</v>
      </c>
      <c r="AY80" s="59" t="s">
        <v>921</v>
      </c>
      <c r="AZ80" s="59" t="s">
        <v>955</v>
      </c>
      <c r="BA80" s="56" t="s">
        <v>966</v>
      </c>
      <c r="BC80" s="28">
        <f>AW80+AX80</f>
        <v>0</v>
      </c>
      <c r="BD80" s="28">
        <f>J80/(100-BE80)*100</f>
        <v>0</v>
      </c>
      <c r="BE80" s="28">
        <v>0</v>
      </c>
      <c r="BF80" s="28">
        <f>80</f>
        <v>80</v>
      </c>
      <c r="BH80" s="60">
        <f>I80*AO80</f>
        <v>0</v>
      </c>
      <c r="BI80" s="60">
        <f>I80*AP80</f>
        <v>0</v>
      </c>
      <c r="BJ80" s="60">
        <f>I80*J80</f>
        <v>0</v>
      </c>
      <c r="BK80" s="60" t="s">
        <v>971</v>
      </c>
      <c r="BL80" s="28">
        <v>31</v>
      </c>
    </row>
    <row r="81" spans="1:64" x14ac:dyDescent="0.25">
      <c r="A81" s="17"/>
      <c r="B81" s="42" t="s">
        <v>265</v>
      </c>
      <c r="C81" s="150" t="s">
        <v>526</v>
      </c>
      <c r="D81" s="151"/>
      <c r="E81" s="151"/>
      <c r="F81" s="151"/>
      <c r="G81" s="151"/>
      <c r="H81" s="151"/>
      <c r="I81" s="151"/>
      <c r="J81" s="151"/>
      <c r="K81" s="151"/>
      <c r="L81" s="152"/>
      <c r="M81" s="17"/>
    </row>
    <row r="82" spans="1:64" x14ac:dyDescent="0.25">
      <c r="A82" s="17"/>
      <c r="C82" s="148" t="s">
        <v>527</v>
      </c>
      <c r="D82" s="149"/>
      <c r="E82" s="149"/>
      <c r="F82" s="149"/>
      <c r="G82" s="149"/>
      <c r="I82" s="77">
        <v>6.75</v>
      </c>
      <c r="L82" s="14"/>
      <c r="M82" s="17"/>
    </row>
    <row r="83" spans="1:64" x14ac:dyDescent="0.25">
      <c r="A83" s="33"/>
      <c r="B83" s="40" t="s">
        <v>115</v>
      </c>
      <c r="C83" s="144" t="s">
        <v>528</v>
      </c>
      <c r="D83" s="145"/>
      <c r="E83" s="145"/>
      <c r="F83" s="145"/>
      <c r="G83" s="145"/>
      <c r="H83" s="46" t="s">
        <v>58</v>
      </c>
      <c r="I83" s="46" t="s">
        <v>58</v>
      </c>
      <c r="J83" s="46" t="s">
        <v>58</v>
      </c>
      <c r="K83" s="65">
        <f>SUM(K84:K101)</f>
        <v>0</v>
      </c>
      <c r="L83" s="52"/>
      <c r="M83" s="17"/>
      <c r="AI83" s="56" t="s">
        <v>72</v>
      </c>
      <c r="AS83" s="65">
        <f>SUM(AJ84:AJ101)</f>
        <v>0</v>
      </c>
      <c r="AT83" s="65">
        <f>SUM(AK84:AK101)</f>
        <v>0</v>
      </c>
      <c r="AU83" s="65">
        <f>SUM(AL84:AL101)</f>
        <v>0</v>
      </c>
    </row>
    <row r="84" spans="1:64" x14ac:dyDescent="0.25">
      <c r="A84" s="34" t="s">
        <v>104</v>
      </c>
      <c r="B84" s="41" t="s">
        <v>285</v>
      </c>
      <c r="C84" s="146" t="s">
        <v>529</v>
      </c>
      <c r="D84" s="147"/>
      <c r="E84" s="147"/>
      <c r="F84" s="147"/>
      <c r="G84" s="147"/>
      <c r="H84" s="41" t="s">
        <v>891</v>
      </c>
      <c r="I84" s="76">
        <v>75.456000000000003</v>
      </c>
      <c r="J84" s="60">
        <v>0</v>
      </c>
      <c r="K84" s="60">
        <f>I84*J84</f>
        <v>0</v>
      </c>
      <c r="L84" s="53" t="s">
        <v>906</v>
      </c>
      <c r="M84" s="17"/>
      <c r="Z84" s="28">
        <f>IF(AQ84="5",BJ84,0)</f>
        <v>0</v>
      </c>
      <c r="AB84" s="28">
        <f>IF(AQ84="1",BH84,0)</f>
        <v>0</v>
      </c>
      <c r="AC84" s="28">
        <f>IF(AQ84="1",BI84,0)</f>
        <v>0</v>
      </c>
      <c r="AD84" s="28">
        <f>IF(AQ84="7",BH84,0)</f>
        <v>0</v>
      </c>
      <c r="AE84" s="28">
        <f>IF(AQ84="7",BI84,0)</f>
        <v>0</v>
      </c>
      <c r="AF84" s="28">
        <f>IF(AQ84="2",BH84,0)</f>
        <v>0</v>
      </c>
      <c r="AG84" s="28">
        <f>IF(AQ84="2",BI84,0)</f>
        <v>0</v>
      </c>
      <c r="AH84" s="28">
        <f>IF(AQ84="0",BJ84,0)</f>
        <v>0</v>
      </c>
      <c r="AI84" s="56" t="s">
        <v>72</v>
      </c>
      <c r="AJ84" s="60">
        <f>IF(AN84=0,K84,0)</f>
        <v>0</v>
      </c>
      <c r="AK84" s="60">
        <f>IF(AN84=15,K84,0)</f>
        <v>0</v>
      </c>
      <c r="AL84" s="60">
        <f>IF(AN84=21,K84,0)</f>
        <v>0</v>
      </c>
      <c r="AN84" s="28">
        <v>21</v>
      </c>
      <c r="AO84" s="28">
        <f>J84*0.743326172478441</f>
        <v>0</v>
      </c>
      <c r="AP84" s="28">
        <f>J84*(1-0.743326172478441)</f>
        <v>0</v>
      </c>
      <c r="AQ84" s="57" t="s">
        <v>82</v>
      </c>
      <c r="AV84" s="28">
        <f>AW84+AX84</f>
        <v>0</v>
      </c>
      <c r="AW84" s="28">
        <f>I84*AO84</f>
        <v>0</v>
      </c>
      <c r="AX84" s="28">
        <f>I84*AP84</f>
        <v>0</v>
      </c>
      <c r="AY84" s="59" t="s">
        <v>922</v>
      </c>
      <c r="AZ84" s="59" t="s">
        <v>955</v>
      </c>
      <c r="BA84" s="56" t="s">
        <v>966</v>
      </c>
      <c r="BC84" s="28">
        <f>AW84+AX84</f>
        <v>0</v>
      </c>
      <c r="BD84" s="28">
        <f>J84/(100-BE84)*100</f>
        <v>0</v>
      </c>
      <c r="BE84" s="28">
        <v>0</v>
      </c>
      <c r="BF84" s="28">
        <f>84</f>
        <v>84</v>
      </c>
      <c r="BH84" s="60">
        <f>I84*AO84</f>
        <v>0</v>
      </c>
      <c r="BI84" s="60">
        <f>I84*AP84</f>
        <v>0</v>
      </c>
      <c r="BJ84" s="60">
        <f>I84*J84</f>
        <v>0</v>
      </c>
      <c r="BK84" s="60" t="s">
        <v>971</v>
      </c>
      <c r="BL84" s="28">
        <v>34</v>
      </c>
    </row>
    <row r="85" spans="1:64" x14ac:dyDescent="0.25">
      <c r="A85" s="17"/>
      <c r="C85" s="148" t="s">
        <v>530</v>
      </c>
      <c r="D85" s="149"/>
      <c r="E85" s="149"/>
      <c r="F85" s="149"/>
      <c r="G85" s="149"/>
      <c r="I85" s="77">
        <v>0</v>
      </c>
      <c r="L85" s="14"/>
      <c r="M85" s="17"/>
    </row>
    <row r="86" spans="1:64" x14ac:dyDescent="0.25">
      <c r="A86" s="17"/>
      <c r="C86" s="148" t="s">
        <v>531</v>
      </c>
      <c r="D86" s="149"/>
      <c r="E86" s="149"/>
      <c r="F86" s="149"/>
      <c r="G86" s="149"/>
      <c r="I86" s="77">
        <v>10.842000000000001</v>
      </c>
      <c r="L86" s="14"/>
      <c r="M86" s="17"/>
    </row>
    <row r="87" spans="1:64" x14ac:dyDescent="0.25">
      <c r="A87" s="17"/>
      <c r="C87" s="148" t="s">
        <v>532</v>
      </c>
      <c r="D87" s="149"/>
      <c r="E87" s="149"/>
      <c r="F87" s="149"/>
      <c r="G87" s="149"/>
      <c r="I87" s="77">
        <v>0</v>
      </c>
      <c r="L87" s="14"/>
      <c r="M87" s="17"/>
    </row>
    <row r="88" spans="1:64" x14ac:dyDescent="0.25">
      <c r="A88" s="17"/>
      <c r="C88" s="148" t="s">
        <v>533</v>
      </c>
      <c r="D88" s="149"/>
      <c r="E88" s="149"/>
      <c r="F88" s="149"/>
      <c r="G88" s="149"/>
      <c r="I88" s="77">
        <v>21.475999999999999</v>
      </c>
      <c r="L88" s="14"/>
      <c r="M88" s="17"/>
    </row>
    <row r="89" spans="1:64" x14ac:dyDescent="0.25">
      <c r="A89" s="17"/>
      <c r="C89" s="148" t="s">
        <v>534</v>
      </c>
      <c r="D89" s="149"/>
      <c r="E89" s="149"/>
      <c r="F89" s="149"/>
      <c r="G89" s="149"/>
      <c r="I89" s="77">
        <v>27.611000000000001</v>
      </c>
      <c r="L89" s="14"/>
      <c r="M89" s="17"/>
    </row>
    <row r="90" spans="1:64" x14ac:dyDescent="0.25">
      <c r="A90" s="17"/>
      <c r="C90" s="148" t="s">
        <v>535</v>
      </c>
      <c r="D90" s="149"/>
      <c r="E90" s="149"/>
      <c r="F90" s="149"/>
      <c r="G90" s="149"/>
      <c r="I90" s="77">
        <v>14.006</v>
      </c>
      <c r="L90" s="14"/>
      <c r="M90" s="17"/>
    </row>
    <row r="91" spans="1:64" x14ac:dyDescent="0.25">
      <c r="A91" s="17"/>
      <c r="C91" s="148" t="s">
        <v>536</v>
      </c>
      <c r="D91" s="149"/>
      <c r="E91" s="149"/>
      <c r="F91" s="149"/>
      <c r="G91" s="149"/>
      <c r="I91" s="77">
        <v>1.5209999999999999</v>
      </c>
      <c r="L91" s="14"/>
      <c r="M91" s="17"/>
    </row>
    <row r="92" spans="1:64" x14ac:dyDescent="0.25">
      <c r="A92" s="34" t="s">
        <v>105</v>
      </c>
      <c r="B92" s="41" t="s">
        <v>286</v>
      </c>
      <c r="C92" s="146" t="s">
        <v>537</v>
      </c>
      <c r="D92" s="147"/>
      <c r="E92" s="147"/>
      <c r="F92" s="147"/>
      <c r="G92" s="147"/>
      <c r="H92" s="41" t="s">
        <v>891</v>
      </c>
      <c r="I92" s="76">
        <v>16.158000000000001</v>
      </c>
      <c r="J92" s="60">
        <v>0</v>
      </c>
      <c r="K92" s="60">
        <f>I92*J92</f>
        <v>0</v>
      </c>
      <c r="L92" s="53" t="s">
        <v>906</v>
      </c>
      <c r="M92" s="17"/>
      <c r="Z92" s="28">
        <f>IF(AQ92="5",BJ92,0)</f>
        <v>0</v>
      </c>
      <c r="AB92" s="28">
        <f>IF(AQ92="1",BH92,0)</f>
        <v>0</v>
      </c>
      <c r="AC92" s="28">
        <f>IF(AQ92="1",BI92,0)</f>
        <v>0</v>
      </c>
      <c r="AD92" s="28">
        <f>IF(AQ92="7",BH92,0)</f>
        <v>0</v>
      </c>
      <c r="AE92" s="28">
        <f>IF(AQ92="7",BI92,0)</f>
        <v>0</v>
      </c>
      <c r="AF92" s="28">
        <f>IF(AQ92="2",BH92,0)</f>
        <v>0</v>
      </c>
      <c r="AG92" s="28">
        <f>IF(AQ92="2",BI92,0)</f>
        <v>0</v>
      </c>
      <c r="AH92" s="28">
        <f>IF(AQ92="0",BJ92,0)</f>
        <v>0</v>
      </c>
      <c r="AI92" s="56" t="s">
        <v>72</v>
      </c>
      <c r="AJ92" s="60">
        <f>IF(AN92=0,K92,0)</f>
        <v>0</v>
      </c>
      <c r="AK92" s="60">
        <f>IF(AN92=15,K92,0)</f>
        <v>0</v>
      </c>
      <c r="AL92" s="60">
        <f>IF(AN92=21,K92,0)</f>
        <v>0</v>
      </c>
      <c r="AN92" s="28">
        <v>21</v>
      </c>
      <c r="AO92" s="28">
        <f>J92*0.668159185497471</f>
        <v>0</v>
      </c>
      <c r="AP92" s="28">
        <f>J92*(1-0.668159185497471)</f>
        <v>0</v>
      </c>
      <c r="AQ92" s="57" t="s">
        <v>82</v>
      </c>
      <c r="AV92" s="28">
        <f>AW92+AX92</f>
        <v>0</v>
      </c>
      <c r="AW92" s="28">
        <f>I92*AO92</f>
        <v>0</v>
      </c>
      <c r="AX92" s="28">
        <f>I92*AP92</f>
        <v>0</v>
      </c>
      <c r="AY92" s="59" t="s">
        <v>922</v>
      </c>
      <c r="AZ92" s="59" t="s">
        <v>955</v>
      </c>
      <c r="BA92" s="56" t="s">
        <v>966</v>
      </c>
      <c r="BC92" s="28">
        <f>AW92+AX92</f>
        <v>0</v>
      </c>
      <c r="BD92" s="28">
        <f>J92/(100-BE92)*100</f>
        <v>0</v>
      </c>
      <c r="BE92" s="28">
        <v>0</v>
      </c>
      <c r="BF92" s="28">
        <f>92</f>
        <v>92</v>
      </c>
      <c r="BH92" s="60">
        <f>I92*AO92</f>
        <v>0</v>
      </c>
      <c r="BI92" s="60">
        <f>I92*AP92</f>
        <v>0</v>
      </c>
      <c r="BJ92" s="60">
        <f>I92*J92</f>
        <v>0</v>
      </c>
      <c r="BK92" s="60" t="s">
        <v>971</v>
      </c>
      <c r="BL92" s="28">
        <v>34</v>
      </c>
    </row>
    <row r="93" spans="1:64" x14ac:dyDescent="0.25">
      <c r="A93" s="17"/>
      <c r="B93" s="42" t="s">
        <v>265</v>
      </c>
      <c r="C93" s="150" t="s">
        <v>538</v>
      </c>
      <c r="D93" s="151"/>
      <c r="E93" s="151"/>
      <c r="F93" s="151"/>
      <c r="G93" s="151"/>
      <c r="H93" s="151"/>
      <c r="I93" s="151"/>
      <c r="J93" s="151"/>
      <c r="K93" s="151"/>
      <c r="L93" s="152"/>
      <c r="M93" s="17"/>
    </row>
    <row r="94" spans="1:64" x14ac:dyDescent="0.25">
      <c r="A94" s="17"/>
      <c r="C94" s="148" t="s">
        <v>539</v>
      </c>
      <c r="D94" s="149"/>
      <c r="E94" s="149"/>
      <c r="F94" s="149"/>
      <c r="G94" s="149"/>
      <c r="I94" s="77">
        <v>13.91</v>
      </c>
      <c r="L94" s="14"/>
      <c r="M94" s="17"/>
    </row>
    <row r="95" spans="1:64" x14ac:dyDescent="0.25">
      <c r="A95" s="17"/>
      <c r="C95" s="148" t="s">
        <v>540</v>
      </c>
      <c r="D95" s="149"/>
      <c r="E95" s="149"/>
      <c r="F95" s="149"/>
      <c r="G95" s="149"/>
      <c r="I95" s="77">
        <v>2.2480000000000002</v>
      </c>
      <c r="L95" s="14"/>
      <c r="M95" s="17"/>
    </row>
    <row r="96" spans="1:64" x14ac:dyDescent="0.25">
      <c r="A96" s="34" t="s">
        <v>106</v>
      </c>
      <c r="B96" s="41" t="s">
        <v>287</v>
      </c>
      <c r="C96" s="146" t="s">
        <v>541</v>
      </c>
      <c r="D96" s="147"/>
      <c r="E96" s="147"/>
      <c r="F96" s="147"/>
      <c r="G96" s="147"/>
      <c r="H96" s="41" t="s">
        <v>891</v>
      </c>
      <c r="I96" s="76">
        <v>114.24299999999999</v>
      </c>
      <c r="J96" s="60">
        <v>0</v>
      </c>
      <c r="K96" s="60">
        <f>I96*J96</f>
        <v>0</v>
      </c>
      <c r="L96" s="53" t="s">
        <v>906</v>
      </c>
      <c r="M96" s="17"/>
      <c r="Z96" s="28">
        <f>IF(AQ96="5",BJ96,0)</f>
        <v>0</v>
      </c>
      <c r="AB96" s="28">
        <f>IF(AQ96="1",BH96,0)</f>
        <v>0</v>
      </c>
      <c r="AC96" s="28">
        <f>IF(AQ96="1",BI96,0)</f>
        <v>0</v>
      </c>
      <c r="AD96" s="28">
        <f>IF(AQ96="7",BH96,0)</f>
        <v>0</v>
      </c>
      <c r="AE96" s="28">
        <f>IF(AQ96="7",BI96,0)</f>
        <v>0</v>
      </c>
      <c r="AF96" s="28">
        <f>IF(AQ96="2",BH96,0)</f>
        <v>0</v>
      </c>
      <c r="AG96" s="28">
        <f>IF(AQ96="2",BI96,0)</f>
        <v>0</v>
      </c>
      <c r="AH96" s="28">
        <f>IF(AQ96="0",BJ96,0)</f>
        <v>0</v>
      </c>
      <c r="AI96" s="56" t="s">
        <v>72</v>
      </c>
      <c r="AJ96" s="60">
        <f>IF(AN96=0,K96,0)</f>
        <v>0</v>
      </c>
      <c r="AK96" s="60">
        <f>IF(AN96=15,K96,0)</f>
        <v>0</v>
      </c>
      <c r="AL96" s="60">
        <f>IF(AN96=21,K96,0)</f>
        <v>0</v>
      </c>
      <c r="AN96" s="28">
        <v>21</v>
      </c>
      <c r="AO96" s="28">
        <f>J96*0.441014969107268</f>
        <v>0</v>
      </c>
      <c r="AP96" s="28">
        <f>J96*(1-0.441014969107268)</f>
        <v>0</v>
      </c>
      <c r="AQ96" s="57" t="s">
        <v>82</v>
      </c>
      <c r="AV96" s="28">
        <f>AW96+AX96</f>
        <v>0</v>
      </c>
      <c r="AW96" s="28">
        <f>I96*AO96</f>
        <v>0</v>
      </c>
      <c r="AX96" s="28">
        <f>I96*AP96</f>
        <v>0</v>
      </c>
      <c r="AY96" s="59" t="s">
        <v>922</v>
      </c>
      <c r="AZ96" s="59" t="s">
        <v>955</v>
      </c>
      <c r="BA96" s="56" t="s">
        <v>966</v>
      </c>
      <c r="BC96" s="28">
        <f>AW96+AX96</f>
        <v>0</v>
      </c>
      <c r="BD96" s="28">
        <f>J96/(100-BE96)*100</f>
        <v>0</v>
      </c>
      <c r="BE96" s="28">
        <v>0</v>
      </c>
      <c r="BF96" s="28">
        <f>96</f>
        <v>96</v>
      </c>
      <c r="BH96" s="60">
        <f>I96*AO96</f>
        <v>0</v>
      </c>
      <c r="BI96" s="60">
        <f>I96*AP96</f>
        <v>0</v>
      </c>
      <c r="BJ96" s="60">
        <f>I96*J96</f>
        <v>0</v>
      </c>
      <c r="BK96" s="60" t="s">
        <v>971</v>
      </c>
      <c r="BL96" s="28">
        <v>34</v>
      </c>
    </row>
    <row r="97" spans="1:64" x14ac:dyDescent="0.25">
      <c r="A97" s="17"/>
      <c r="B97" s="42" t="s">
        <v>265</v>
      </c>
      <c r="C97" s="150" t="s">
        <v>542</v>
      </c>
      <c r="D97" s="151"/>
      <c r="E97" s="151"/>
      <c r="F97" s="151"/>
      <c r="G97" s="151"/>
      <c r="H97" s="151"/>
      <c r="I97" s="151"/>
      <c r="J97" s="151"/>
      <c r="K97" s="151"/>
      <c r="L97" s="152"/>
      <c r="M97" s="17"/>
    </row>
    <row r="98" spans="1:64" x14ac:dyDescent="0.25">
      <c r="A98" s="17"/>
      <c r="C98" s="148" t="s">
        <v>543</v>
      </c>
      <c r="D98" s="149"/>
      <c r="E98" s="149"/>
      <c r="F98" s="149"/>
      <c r="G98" s="149"/>
      <c r="I98" s="77">
        <v>0</v>
      </c>
      <c r="L98" s="14"/>
      <c r="M98" s="17"/>
    </row>
    <row r="99" spans="1:64" x14ac:dyDescent="0.25">
      <c r="A99" s="17"/>
      <c r="C99" s="148" t="s">
        <v>544</v>
      </c>
      <c r="D99" s="149"/>
      <c r="E99" s="149"/>
      <c r="F99" s="149"/>
      <c r="G99" s="149"/>
      <c r="I99" s="77">
        <v>38.573</v>
      </c>
      <c r="L99" s="14"/>
      <c r="M99" s="17"/>
    </row>
    <row r="100" spans="1:64" x14ac:dyDescent="0.25">
      <c r="A100" s="17"/>
      <c r="C100" s="148" t="s">
        <v>545</v>
      </c>
      <c r="D100" s="149"/>
      <c r="E100" s="149"/>
      <c r="F100" s="149"/>
      <c r="G100" s="149"/>
      <c r="I100" s="77">
        <v>75.67</v>
      </c>
      <c r="L100" s="14"/>
      <c r="M100" s="17"/>
    </row>
    <row r="101" spans="1:64" x14ac:dyDescent="0.25">
      <c r="A101" s="34" t="s">
        <v>107</v>
      </c>
      <c r="B101" s="41" t="s">
        <v>288</v>
      </c>
      <c r="C101" s="146" t="s">
        <v>541</v>
      </c>
      <c r="D101" s="147"/>
      <c r="E101" s="147"/>
      <c r="F101" s="147"/>
      <c r="G101" s="147"/>
      <c r="H101" s="41" t="s">
        <v>891</v>
      </c>
      <c r="I101" s="76">
        <v>106.4</v>
      </c>
      <c r="J101" s="60">
        <v>0</v>
      </c>
      <c r="K101" s="60">
        <f>I101*J101</f>
        <v>0</v>
      </c>
      <c r="L101" s="53" t="s">
        <v>906</v>
      </c>
      <c r="M101" s="17"/>
      <c r="Z101" s="28">
        <f>IF(AQ101="5",BJ101,0)</f>
        <v>0</v>
      </c>
      <c r="AB101" s="28">
        <f>IF(AQ101="1",BH101,0)</f>
        <v>0</v>
      </c>
      <c r="AC101" s="28">
        <f>IF(AQ101="1",BI101,0)</f>
        <v>0</v>
      </c>
      <c r="AD101" s="28">
        <f>IF(AQ101="7",BH101,0)</f>
        <v>0</v>
      </c>
      <c r="AE101" s="28">
        <f>IF(AQ101="7",BI101,0)</f>
        <v>0</v>
      </c>
      <c r="AF101" s="28">
        <f>IF(AQ101="2",BH101,0)</f>
        <v>0</v>
      </c>
      <c r="AG101" s="28">
        <f>IF(AQ101="2",BI101,0)</f>
        <v>0</v>
      </c>
      <c r="AH101" s="28">
        <f>IF(AQ101="0",BJ101,0)</f>
        <v>0</v>
      </c>
      <c r="AI101" s="56" t="s">
        <v>72</v>
      </c>
      <c r="AJ101" s="60">
        <f>IF(AN101=0,K101,0)</f>
        <v>0</v>
      </c>
      <c r="AK101" s="60">
        <f>IF(AN101=15,K101,0)</f>
        <v>0</v>
      </c>
      <c r="AL101" s="60">
        <f>IF(AN101=21,K101,0)</f>
        <v>0</v>
      </c>
      <c r="AN101" s="28">
        <v>21</v>
      </c>
      <c r="AO101" s="28">
        <f>J101*0.401717935166601</f>
        <v>0</v>
      </c>
      <c r="AP101" s="28">
        <f>J101*(1-0.401717935166601)</f>
        <v>0</v>
      </c>
      <c r="AQ101" s="57" t="s">
        <v>82</v>
      </c>
      <c r="AV101" s="28">
        <f>AW101+AX101</f>
        <v>0</v>
      </c>
      <c r="AW101" s="28">
        <f>I101*AO101</f>
        <v>0</v>
      </c>
      <c r="AX101" s="28">
        <f>I101*AP101</f>
        <v>0</v>
      </c>
      <c r="AY101" s="59" t="s">
        <v>922</v>
      </c>
      <c r="AZ101" s="59" t="s">
        <v>955</v>
      </c>
      <c r="BA101" s="56" t="s">
        <v>966</v>
      </c>
      <c r="BC101" s="28">
        <f>AW101+AX101</f>
        <v>0</v>
      </c>
      <c r="BD101" s="28">
        <f>J101/(100-BE101)*100</f>
        <v>0</v>
      </c>
      <c r="BE101" s="28">
        <v>0</v>
      </c>
      <c r="BF101" s="28">
        <f>101</f>
        <v>101</v>
      </c>
      <c r="BH101" s="60">
        <f>I101*AO101</f>
        <v>0</v>
      </c>
      <c r="BI101" s="60">
        <f>I101*AP101</f>
        <v>0</v>
      </c>
      <c r="BJ101" s="60">
        <f>I101*J101</f>
        <v>0</v>
      </c>
      <c r="BK101" s="60" t="s">
        <v>971</v>
      </c>
      <c r="BL101" s="28">
        <v>34</v>
      </c>
    </row>
    <row r="102" spans="1:64" x14ac:dyDescent="0.25">
      <c r="A102" s="17"/>
      <c r="B102" s="42" t="s">
        <v>265</v>
      </c>
      <c r="C102" s="150" t="s">
        <v>546</v>
      </c>
      <c r="D102" s="151"/>
      <c r="E102" s="151"/>
      <c r="F102" s="151"/>
      <c r="G102" s="151"/>
      <c r="H102" s="151"/>
      <c r="I102" s="151"/>
      <c r="J102" s="151"/>
      <c r="K102" s="151"/>
      <c r="L102" s="152"/>
      <c r="M102" s="17"/>
    </row>
    <row r="103" spans="1:64" x14ac:dyDescent="0.25">
      <c r="A103" s="17"/>
      <c r="C103" s="148" t="s">
        <v>543</v>
      </c>
      <c r="D103" s="149"/>
      <c r="E103" s="149"/>
      <c r="F103" s="149"/>
      <c r="G103" s="149"/>
      <c r="I103" s="77">
        <v>0</v>
      </c>
      <c r="L103" s="14"/>
      <c r="M103" s="17"/>
    </row>
    <row r="104" spans="1:64" x14ac:dyDescent="0.25">
      <c r="A104" s="17"/>
      <c r="C104" s="148" t="s">
        <v>547</v>
      </c>
      <c r="D104" s="149"/>
      <c r="E104" s="149"/>
      <c r="F104" s="149"/>
      <c r="G104" s="149"/>
      <c r="I104" s="77">
        <v>61.32</v>
      </c>
      <c r="L104" s="14"/>
      <c r="M104" s="17"/>
    </row>
    <row r="105" spans="1:64" x14ac:dyDescent="0.25">
      <c r="A105" s="17"/>
      <c r="C105" s="148" t="s">
        <v>548</v>
      </c>
      <c r="D105" s="149"/>
      <c r="E105" s="149"/>
      <c r="F105" s="149"/>
      <c r="G105" s="149"/>
      <c r="I105" s="77">
        <v>45.08</v>
      </c>
      <c r="L105" s="14"/>
      <c r="M105" s="17"/>
    </row>
    <row r="106" spans="1:64" x14ac:dyDescent="0.25">
      <c r="A106" s="33"/>
      <c r="B106" s="40" t="s">
        <v>122</v>
      </c>
      <c r="C106" s="144" t="s">
        <v>549</v>
      </c>
      <c r="D106" s="145"/>
      <c r="E106" s="145"/>
      <c r="F106" s="145"/>
      <c r="G106" s="145"/>
      <c r="H106" s="46" t="s">
        <v>58</v>
      </c>
      <c r="I106" s="46" t="s">
        <v>58</v>
      </c>
      <c r="J106" s="46" t="s">
        <v>58</v>
      </c>
      <c r="K106" s="65">
        <f>SUM(K107:K119)</f>
        <v>0</v>
      </c>
      <c r="L106" s="52"/>
      <c r="M106" s="17"/>
      <c r="AI106" s="56" t="s">
        <v>72</v>
      </c>
      <c r="AS106" s="65">
        <f>SUM(AJ107:AJ119)</f>
        <v>0</v>
      </c>
      <c r="AT106" s="65">
        <f>SUM(AK107:AK119)</f>
        <v>0</v>
      </c>
      <c r="AU106" s="65">
        <f>SUM(AL107:AL119)</f>
        <v>0</v>
      </c>
    </row>
    <row r="107" spans="1:64" x14ac:dyDescent="0.25">
      <c r="A107" s="34" t="s">
        <v>108</v>
      </c>
      <c r="B107" s="41" t="s">
        <v>289</v>
      </c>
      <c r="C107" s="146" t="s">
        <v>550</v>
      </c>
      <c r="D107" s="147"/>
      <c r="E107" s="147"/>
      <c r="F107" s="147"/>
      <c r="G107" s="147"/>
      <c r="H107" s="41" t="s">
        <v>891</v>
      </c>
      <c r="I107" s="76">
        <v>4.18</v>
      </c>
      <c r="J107" s="60">
        <v>0</v>
      </c>
      <c r="K107" s="60">
        <f>I107*J107</f>
        <v>0</v>
      </c>
      <c r="L107" s="53" t="s">
        <v>906</v>
      </c>
      <c r="M107" s="17"/>
      <c r="Z107" s="28">
        <f>IF(AQ107="5",BJ107,0)</f>
        <v>0</v>
      </c>
      <c r="AB107" s="28">
        <f>IF(AQ107="1",BH107,0)</f>
        <v>0</v>
      </c>
      <c r="AC107" s="28">
        <f>IF(AQ107="1",BI107,0)</f>
        <v>0</v>
      </c>
      <c r="AD107" s="28">
        <f>IF(AQ107="7",BH107,0)</f>
        <v>0</v>
      </c>
      <c r="AE107" s="28">
        <f>IF(AQ107="7",BI107,0)</f>
        <v>0</v>
      </c>
      <c r="AF107" s="28">
        <f>IF(AQ107="2",BH107,0)</f>
        <v>0</v>
      </c>
      <c r="AG107" s="28">
        <f>IF(AQ107="2",BI107,0)</f>
        <v>0</v>
      </c>
      <c r="AH107" s="28">
        <f>IF(AQ107="0",BJ107,0)</f>
        <v>0</v>
      </c>
      <c r="AI107" s="56" t="s">
        <v>72</v>
      </c>
      <c r="AJ107" s="60">
        <f>IF(AN107=0,K107,0)</f>
        <v>0</v>
      </c>
      <c r="AK107" s="60">
        <f>IF(AN107=15,K107,0)</f>
        <v>0</v>
      </c>
      <c r="AL107" s="60">
        <f>IF(AN107=21,K107,0)</f>
        <v>0</v>
      </c>
      <c r="AN107" s="28">
        <v>21</v>
      </c>
      <c r="AO107" s="28">
        <f>J107*0.0211291052481272</f>
        <v>0</v>
      </c>
      <c r="AP107" s="28">
        <f>J107*(1-0.0211291052481272)</f>
        <v>0</v>
      </c>
      <c r="AQ107" s="57" t="s">
        <v>82</v>
      </c>
      <c r="AV107" s="28">
        <f>AW107+AX107</f>
        <v>0</v>
      </c>
      <c r="AW107" s="28">
        <f>I107*AO107</f>
        <v>0</v>
      </c>
      <c r="AX107" s="28">
        <f>I107*AP107</f>
        <v>0</v>
      </c>
      <c r="AY107" s="59" t="s">
        <v>923</v>
      </c>
      <c r="AZ107" s="59" t="s">
        <v>956</v>
      </c>
      <c r="BA107" s="56" t="s">
        <v>966</v>
      </c>
      <c r="BC107" s="28">
        <f>AW107+AX107</f>
        <v>0</v>
      </c>
      <c r="BD107" s="28">
        <f>J107/(100-BE107)*100</f>
        <v>0</v>
      </c>
      <c r="BE107" s="28">
        <v>0</v>
      </c>
      <c r="BF107" s="28">
        <f>107</f>
        <v>107</v>
      </c>
      <c r="BH107" s="60">
        <f>I107*AO107</f>
        <v>0</v>
      </c>
      <c r="BI107" s="60">
        <f>I107*AP107</f>
        <v>0</v>
      </c>
      <c r="BJ107" s="60">
        <f>I107*J107</f>
        <v>0</v>
      </c>
      <c r="BK107" s="60" t="s">
        <v>971</v>
      </c>
      <c r="BL107" s="28">
        <v>41</v>
      </c>
    </row>
    <row r="108" spans="1:64" x14ac:dyDescent="0.25">
      <c r="A108" s="17"/>
      <c r="B108" s="42" t="s">
        <v>265</v>
      </c>
      <c r="C108" s="150" t="s">
        <v>551</v>
      </c>
      <c r="D108" s="151"/>
      <c r="E108" s="151"/>
      <c r="F108" s="151"/>
      <c r="G108" s="151"/>
      <c r="H108" s="151"/>
      <c r="I108" s="151"/>
      <c r="J108" s="151"/>
      <c r="K108" s="151"/>
      <c r="L108" s="152"/>
      <c r="M108" s="17"/>
    </row>
    <row r="109" spans="1:64" x14ac:dyDescent="0.25">
      <c r="A109" s="17"/>
      <c r="C109" s="148" t="s">
        <v>552</v>
      </c>
      <c r="D109" s="149"/>
      <c r="E109" s="149"/>
      <c r="F109" s="149"/>
      <c r="G109" s="149"/>
      <c r="I109" s="77">
        <v>4.18</v>
      </c>
      <c r="L109" s="14"/>
      <c r="M109" s="17"/>
    </row>
    <row r="110" spans="1:64" x14ac:dyDescent="0.25">
      <c r="A110" s="34" t="s">
        <v>109</v>
      </c>
      <c r="B110" s="41" t="s">
        <v>290</v>
      </c>
      <c r="C110" s="146" t="s">
        <v>553</v>
      </c>
      <c r="D110" s="147"/>
      <c r="E110" s="147"/>
      <c r="F110" s="147"/>
      <c r="G110" s="147"/>
      <c r="H110" s="41" t="s">
        <v>893</v>
      </c>
      <c r="I110" s="76">
        <v>0.24299999999999999</v>
      </c>
      <c r="J110" s="60">
        <v>0</v>
      </c>
      <c r="K110" s="60">
        <f>I110*J110</f>
        <v>0</v>
      </c>
      <c r="L110" s="53" t="s">
        <v>906</v>
      </c>
      <c r="M110" s="17"/>
      <c r="Z110" s="28">
        <f>IF(AQ110="5",BJ110,0)</f>
        <v>0</v>
      </c>
      <c r="AB110" s="28">
        <f>IF(AQ110="1",BH110,0)</f>
        <v>0</v>
      </c>
      <c r="AC110" s="28">
        <f>IF(AQ110="1",BI110,0)</f>
        <v>0</v>
      </c>
      <c r="AD110" s="28">
        <f>IF(AQ110="7",BH110,0)</f>
        <v>0</v>
      </c>
      <c r="AE110" s="28">
        <f>IF(AQ110="7",BI110,0)</f>
        <v>0</v>
      </c>
      <c r="AF110" s="28">
        <f>IF(AQ110="2",BH110,0)</f>
        <v>0</v>
      </c>
      <c r="AG110" s="28">
        <f>IF(AQ110="2",BI110,0)</f>
        <v>0</v>
      </c>
      <c r="AH110" s="28">
        <f>IF(AQ110="0",BJ110,0)</f>
        <v>0</v>
      </c>
      <c r="AI110" s="56" t="s">
        <v>72</v>
      </c>
      <c r="AJ110" s="60">
        <f>IF(AN110=0,K110,0)</f>
        <v>0</v>
      </c>
      <c r="AK110" s="60">
        <f>IF(AN110=15,K110,0)</f>
        <v>0</v>
      </c>
      <c r="AL110" s="60">
        <f>IF(AN110=21,K110,0)</f>
        <v>0</v>
      </c>
      <c r="AN110" s="28">
        <v>21</v>
      </c>
      <c r="AO110" s="28">
        <f>J110*0.729567374612725</f>
        <v>0</v>
      </c>
      <c r="AP110" s="28">
        <f>J110*(1-0.729567374612725)</f>
        <v>0</v>
      </c>
      <c r="AQ110" s="57" t="s">
        <v>82</v>
      </c>
      <c r="AV110" s="28">
        <f>AW110+AX110</f>
        <v>0</v>
      </c>
      <c r="AW110" s="28">
        <f>I110*AO110</f>
        <v>0</v>
      </c>
      <c r="AX110" s="28">
        <f>I110*AP110</f>
        <v>0</v>
      </c>
      <c r="AY110" s="59" t="s">
        <v>923</v>
      </c>
      <c r="AZ110" s="59" t="s">
        <v>956</v>
      </c>
      <c r="BA110" s="56" t="s">
        <v>966</v>
      </c>
      <c r="BC110" s="28">
        <f>AW110+AX110</f>
        <v>0</v>
      </c>
      <c r="BD110" s="28">
        <f>J110/(100-BE110)*100</f>
        <v>0</v>
      </c>
      <c r="BE110" s="28">
        <v>0</v>
      </c>
      <c r="BF110" s="28">
        <f>110</f>
        <v>110</v>
      </c>
      <c r="BH110" s="60">
        <f>I110*AO110</f>
        <v>0</v>
      </c>
      <c r="BI110" s="60">
        <f>I110*AP110</f>
        <v>0</v>
      </c>
      <c r="BJ110" s="60">
        <f>I110*J110</f>
        <v>0</v>
      </c>
      <c r="BK110" s="60" t="s">
        <v>971</v>
      </c>
      <c r="BL110" s="28">
        <v>41</v>
      </c>
    </row>
    <row r="111" spans="1:64" x14ac:dyDescent="0.25">
      <c r="A111" s="17"/>
      <c r="B111" s="42" t="s">
        <v>265</v>
      </c>
      <c r="C111" s="150" t="s">
        <v>554</v>
      </c>
      <c r="D111" s="151"/>
      <c r="E111" s="151"/>
      <c r="F111" s="151"/>
      <c r="G111" s="151"/>
      <c r="H111" s="151"/>
      <c r="I111" s="151"/>
      <c r="J111" s="151"/>
      <c r="K111" s="151"/>
      <c r="L111" s="152"/>
      <c r="M111" s="17"/>
    </row>
    <row r="112" spans="1:64" x14ac:dyDescent="0.25">
      <c r="A112" s="17"/>
      <c r="C112" s="148" t="s">
        <v>555</v>
      </c>
      <c r="D112" s="149"/>
      <c r="E112" s="149"/>
      <c r="F112" s="149"/>
      <c r="G112" s="149"/>
      <c r="I112" s="77">
        <v>0.24299999999999999</v>
      </c>
      <c r="L112" s="14"/>
      <c r="M112" s="17"/>
    </row>
    <row r="113" spans="1:64" x14ac:dyDescent="0.25">
      <c r="A113" s="34" t="s">
        <v>110</v>
      </c>
      <c r="B113" s="41" t="s">
        <v>291</v>
      </c>
      <c r="C113" s="146" t="s">
        <v>556</v>
      </c>
      <c r="D113" s="147"/>
      <c r="E113" s="147"/>
      <c r="F113" s="147"/>
      <c r="G113" s="147"/>
      <c r="H113" s="41" t="s">
        <v>895</v>
      </c>
      <c r="I113" s="76">
        <v>10.8</v>
      </c>
      <c r="J113" s="60">
        <v>0</v>
      </c>
      <c r="K113" s="60">
        <f>I113*J113</f>
        <v>0</v>
      </c>
      <c r="L113" s="53" t="s">
        <v>906</v>
      </c>
      <c r="M113" s="17"/>
      <c r="Z113" s="28">
        <f>IF(AQ113="5",BJ113,0)</f>
        <v>0</v>
      </c>
      <c r="AB113" s="28">
        <f>IF(AQ113="1",BH113,0)</f>
        <v>0</v>
      </c>
      <c r="AC113" s="28">
        <f>IF(AQ113="1",BI113,0)</f>
        <v>0</v>
      </c>
      <c r="AD113" s="28">
        <f>IF(AQ113="7",BH113,0)</f>
        <v>0</v>
      </c>
      <c r="AE113" s="28">
        <f>IF(AQ113="7",BI113,0)</f>
        <v>0</v>
      </c>
      <c r="AF113" s="28">
        <f>IF(AQ113="2",BH113,0)</f>
        <v>0</v>
      </c>
      <c r="AG113" s="28">
        <f>IF(AQ113="2",BI113,0)</f>
        <v>0</v>
      </c>
      <c r="AH113" s="28">
        <f>IF(AQ113="0",BJ113,0)</f>
        <v>0</v>
      </c>
      <c r="AI113" s="56" t="s">
        <v>72</v>
      </c>
      <c r="AJ113" s="60">
        <f>IF(AN113=0,K113,0)</f>
        <v>0</v>
      </c>
      <c r="AK113" s="60">
        <f>IF(AN113=15,K113,0)</f>
        <v>0</v>
      </c>
      <c r="AL113" s="60">
        <f>IF(AN113=21,K113,0)</f>
        <v>0</v>
      </c>
      <c r="AN113" s="28">
        <v>21</v>
      </c>
      <c r="AO113" s="28">
        <f>J113*0.40190692577587</f>
        <v>0</v>
      </c>
      <c r="AP113" s="28">
        <f>J113*(1-0.40190692577587)</f>
        <v>0</v>
      </c>
      <c r="AQ113" s="57" t="s">
        <v>82</v>
      </c>
      <c r="AV113" s="28">
        <f>AW113+AX113</f>
        <v>0</v>
      </c>
      <c r="AW113" s="28">
        <f>I113*AO113</f>
        <v>0</v>
      </c>
      <c r="AX113" s="28">
        <f>I113*AP113</f>
        <v>0</v>
      </c>
      <c r="AY113" s="59" t="s">
        <v>923</v>
      </c>
      <c r="AZ113" s="59" t="s">
        <v>956</v>
      </c>
      <c r="BA113" s="56" t="s">
        <v>966</v>
      </c>
      <c r="BC113" s="28">
        <f>AW113+AX113</f>
        <v>0</v>
      </c>
      <c r="BD113" s="28">
        <f>J113/(100-BE113)*100</f>
        <v>0</v>
      </c>
      <c r="BE113" s="28">
        <v>0</v>
      </c>
      <c r="BF113" s="28">
        <f>113</f>
        <v>113</v>
      </c>
      <c r="BH113" s="60">
        <f>I113*AO113</f>
        <v>0</v>
      </c>
      <c r="BI113" s="60">
        <f>I113*AP113</f>
        <v>0</v>
      </c>
      <c r="BJ113" s="60">
        <f>I113*J113</f>
        <v>0</v>
      </c>
      <c r="BK113" s="60" t="s">
        <v>971</v>
      </c>
      <c r="BL113" s="28">
        <v>41</v>
      </c>
    </row>
    <row r="114" spans="1:64" x14ac:dyDescent="0.25">
      <c r="A114" s="17"/>
      <c r="B114" s="42" t="s">
        <v>265</v>
      </c>
      <c r="C114" s="150" t="s">
        <v>557</v>
      </c>
      <c r="D114" s="151"/>
      <c r="E114" s="151"/>
      <c r="F114" s="151"/>
      <c r="G114" s="151"/>
      <c r="H114" s="151"/>
      <c r="I114" s="151"/>
      <c r="J114" s="151"/>
      <c r="K114" s="151"/>
      <c r="L114" s="152"/>
      <c r="M114" s="17"/>
    </row>
    <row r="115" spans="1:64" x14ac:dyDescent="0.25">
      <c r="A115" s="17"/>
      <c r="C115" s="148" t="s">
        <v>558</v>
      </c>
      <c r="D115" s="149"/>
      <c r="E115" s="149"/>
      <c r="F115" s="149"/>
      <c r="G115" s="149"/>
      <c r="I115" s="77">
        <v>10.8</v>
      </c>
      <c r="L115" s="14"/>
      <c r="M115" s="17"/>
    </row>
    <row r="116" spans="1:64" x14ac:dyDescent="0.25">
      <c r="A116" s="34" t="s">
        <v>111</v>
      </c>
      <c r="B116" s="41" t="s">
        <v>292</v>
      </c>
      <c r="C116" s="146" t="s">
        <v>559</v>
      </c>
      <c r="D116" s="147"/>
      <c r="E116" s="147"/>
      <c r="F116" s="147"/>
      <c r="G116" s="147"/>
      <c r="H116" s="41" t="s">
        <v>891</v>
      </c>
      <c r="I116" s="76">
        <v>3.24</v>
      </c>
      <c r="J116" s="60">
        <v>0</v>
      </c>
      <c r="K116" s="60">
        <f>I116*J116</f>
        <v>0</v>
      </c>
      <c r="L116" s="53" t="s">
        <v>906</v>
      </c>
      <c r="M116" s="17"/>
      <c r="Z116" s="28">
        <f>IF(AQ116="5",BJ116,0)</f>
        <v>0</v>
      </c>
      <c r="AB116" s="28">
        <f>IF(AQ116="1",BH116,0)</f>
        <v>0</v>
      </c>
      <c r="AC116" s="28">
        <f>IF(AQ116="1",BI116,0)</f>
        <v>0</v>
      </c>
      <c r="AD116" s="28">
        <f>IF(AQ116="7",BH116,0)</f>
        <v>0</v>
      </c>
      <c r="AE116" s="28">
        <f>IF(AQ116="7",BI116,0)</f>
        <v>0</v>
      </c>
      <c r="AF116" s="28">
        <f>IF(AQ116="2",BH116,0)</f>
        <v>0</v>
      </c>
      <c r="AG116" s="28">
        <f>IF(AQ116="2",BI116,0)</f>
        <v>0</v>
      </c>
      <c r="AH116" s="28">
        <f>IF(AQ116="0",BJ116,0)</f>
        <v>0</v>
      </c>
      <c r="AI116" s="56" t="s">
        <v>72</v>
      </c>
      <c r="AJ116" s="60">
        <f>IF(AN116=0,K116,0)</f>
        <v>0</v>
      </c>
      <c r="AK116" s="60">
        <f>IF(AN116=15,K116,0)</f>
        <v>0</v>
      </c>
      <c r="AL116" s="60">
        <f>IF(AN116=21,K116,0)</f>
        <v>0</v>
      </c>
      <c r="AN116" s="28">
        <v>21</v>
      </c>
      <c r="AO116" s="28">
        <f>J116*0.217818181818182</f>
        <v>0</v>
      </c>
      <c r="AP116" s="28">
        <f>J116*(1-0.217818181818182)</f>
        <v>0</v>
      </c>
      <c r="AQ116" s="57" t="s">
        <v>82</v>
      </c>
      <c r="AV116" s="28">
        <f>AW116+AX116</f>
        <v>0</v>
      </c>
      <c r="AW116" s="28">
        <f>I116*AO116</f>
        <v>0</v>
      </c>
      <c r="AX116" s="28">
        <f>I116*AP116</f>
        <v>0</v>
      </c>
      <c r="AY116" s="59" t="s">
        <v>923</v>
      </c>
      <c r="AZ116" s="59" t="s">
        <v>956</v>
      </c>
      <c r="BA116" s="56" t="s">
        <v>966</v>
      </c>
      <c r="BC116" s="28">
        <f>AW116+AX116</f>
        <v>0</v>
      </c>
      <c r="BD116" s="28">
        <f>J116/(100-BE116)*100</f>
        <v>0</v>
      </c>
      <c r="BE116" s="28">
        <v>0</v>
      </c>
      <c r="BF116" s="28">
        <f>116</f>
        <v>116</v>
      </c>
      <c r="BH116" s="60">
        <f>I116*AO116</f>
        <v>0</v>
      </c>
      <c r="BI116" s="60">
        <f>I116*AP116</f>
        <v>0</v>
      </c>
      <c r="BJ116" s="60">
        <f>I116*J116</f>
        <v>0</v>
      </c>
      <c r="BK116" s="60" t="s">
        <v>971</v>
      </c>
      <c r="BL116" s="28">
        <v>41</v>
      </c>
    </row>
    <row r="117" spans="1:64" x14ac:dyDescent="0.25">
      <c r="A117" s="17"/>
      <c r="C117" s="148" t="s">
        <v>560</v>
      </c>
      <c r="D117" s="149"/>
      <c r="E117" s="149"/>
      <c r="F117" s="149"/>
      <c r="G117" s="149"/>
      <c r="I117" s="77">
        <v>3.24</v>
      </c>
      <c r="L117" s="14"/>
      <c r="M117" s="17"/>
    </row>
    <row r="118" spans="1:64" x14ac:dyDescent="0.25">
      <c r="A118" s="34" t="s">
        <v>112</v>
      </c>
      <c r="B118" s="41" t="s">
        <v>293</v>
      </c>
      <c r="C118" s="146" t="s">
        <v>561</v>
      </c>
      <c r="D118" s="147"/>
      <c r="E118" s="147"/>
      <c r="F118" s="147"/>
      <c r="G118" s="147"/>
      <c r="H118" s="41" t="s">
        <v>891</v>
      </c>
      <c r="I118" s="76">
        <v>3.24</v>
      </c>
      <c r="J118" s="60">
        <v>0</v>
      </c>
      <c r="K118" s="60">
        <f>I118*J118</f>
        <v>0</v>
      </c>
      <c r="L118" s="53" t="s">
        <v>906</v>
      </c>
      <c r="M118" s="17"/>
      <c r="Z118" s="28">
        <f>IF(AQ118="5",BJ118,0)</f>
        <v>0</v>
      </c>
      <c r="AB118" s="28">
        <f>IF(AQ118="1",BH118,0)</f>
        <v>0</v>
      </c>
      <c r="AC118" s="28">
        <f>IF(AQ118="1",BI118,0)</f>
        <v>0</v>
      </c>
      <c r="AD118" s="28">
        <f>IF(AQ118="7",BH118,0)</f>
        <v>0</v>
      </c>
      <c r="AE118" s="28">
        <f>IF(AQ118="7",BI118,0)</f>
        <v>0</v>
      </c>
      <c r="AF118" s="28">
        <f>IF(AQ118="2",BH118,0)</f>
        <v>0</v>
      </c>
      <c r="AG118" s="28">
        <f>IF(AQ118="2",BI118,0)</f>
        <v>0</v>
      </c>
      <c r="AH118" s="28">
        <f>IF(AQ118="0",BJ118,0)</f>
        <v>0</v>
      </c>
      <c r="AI118" s="56" t="s">
        <v>72</v>
      </c>
      <c r="AJ118" s="60">
        <f>IF(AN118=0,K118,0)</f>
        <v>0</v>
      </c>
      <c r="AK118" s="60">
        <f>IF(AN118=15,K118,0)</f>
        <v>0</v>
      </c>
      <c r="AL118" s="60">
        <f>IF(AN118=21,K118,0)</f>
        <v>0</v>
      </c>
      <c r="AN118" s="28">
        <v>21</v>
      </c>
      <c r="AO118" s="28">
        <f>J118*0</f>
        <v>0</v>
      </c>
      <c r="AP118" s="28">
        <f>J118*(1-0)</f>
        <v>0</v>
      </c>
      <c r="AQ118" s="57" t="s">
        <v>82</v>
      </c>
      <c r="AV118" s="28">
        <f>AW118+AX118</f>
        <v>0</v>
      </c>
      <c r="AW118" s="28">
        <f>I118*AO118</f>
        <v>0</v>
      </c>
      <c r="AX118" s="28">
        <f>I118*AP118</f>
        <v>0</v>
      </c>
      <c r="AY118" s="59" t="s">
        <v>923</v>
      </c>
      <c r="AZ118" s="59" t="s">
        <v>956</v>
      </c>
      <c r="BA118" s="56" t="s">
        <v>966</v>
      </c>
      <c r="BC118" s="28">
        <f>AW118+AX118</f>
        <v>0</v>
      </c>
      <c r="BD118" s="28">
        <f>J118/(100-BE118)*100</f>
        <v>0</v>
      </c>
      <c r="BE118" s="28">
        <v>0</v>
      </c>
      <c r="BF118" s="28">
        <f>118</f>
        <v>118</v>
      </c>
      <c r="BH118" s="60">
        <f>I118*AO118</f>
        <v>0</v>
      </c>
      <c r="BI118" s="60">
        <f>I118*AP118</f>
        <v>0</v>
      </c>
      <c r="BJ118" s="60">
        <f>I118*J118</f>
        <v>0</v>
      </c>
      <c r="BK118" s="60" t="s">
        <v>971</v>
      </c>
      <c r="BL118" s="28">
        <v>41</v>
      </c>
    </row>
    <row r="119" spans="1:64" x14ac:dyDescent="0.25">
      <c r="A119" s="34" t="s">
        <v>113</v>
      </c>
      <c r="B119" s="41" t="s">
        <v>294</v>
      </c>
      <c r="C119" s="146" t="s">
        <v>562</v>
      </c>
      <c r="D119" s="147"/>
      <c r="E119" s="147"/>
      <c r="F119" s="147"/>
      <c r="G119" s="147"/>
      <c r="H119" s="41" t="s">
        <v>891</v>
      </c>
      <c r="I119" s="76">
        <v>11.5</v>
      </c>
      <c r="J119" s="60">
        <v>0</v>
      </c>
      <c r="K119" s="60">
        <f>I119*J119</f>
        <v>0</v>
      </c>
      <c r="L119" s="53" t="s">
        <v>906</v>
      </c>
      <c r="M119" s="17"/>
      <c r="Z119" s="28">
        <f>IF(AQ119="5",BJ119,0)</f>
        <v>0</v>
      </c>
      <c r="AB119" s="28">
        <f>IF(AQ119="1",BH119,0)</f>
        <v>0</v>
      </c>
      <c r="AC119" s="28">
        <f>IF(AQ119="1",BI119,0)</f>
        <v>0</v>
      </c>
      <c r="AD119" s="28">
        <f>IF(AQ119="7",BH119,0)</f>
        <v>0</v>
      </c>
      <c r="AE119" s="28">
        <f>IF(AQ119="7",BI119,0)</f>
        <v>0</v>
      </c>
      <c r="AF119" s="28">
        <f>IF(AQ119="2",BH119,0)</f>
        <v>0</v>
      </c>
      <c r="AG119" s="28">
        <f>IF(AQ119="2",BI119,0)</f>
        <v>0</v>
      </c>
      <c r="AH119" s="28">
        <f>IF(AQ119="0",BJ119,0)</f>
        <v>0</v>
      </c>
      <c r="AI119" s="56" t="s">
        <v>72</v>
      </c>
      <c r="AJ119" s="60">
        <f>IF(AN119=0,K119,0)</f>
        <v>0</v>
      </c>
      <c r="AK119" s="60">
        <f>IF(AN119=15,K119,0)</f>
        <v>0</v>
      </c>
      <c r="AL119" s="60">
        <f>IF(AN119=21,K119,0)</f>
        <v>0</v>
      </c>
      <c r="AN119" s="28">
        <v>21</v>
      </c>
      <c r="AO119" s="28">
        <f>J119*0.305116279069767</f>
        <v>0</v>
      </c>
      <c r="AP119" s="28">
        <f>J119*(1-0.305116279069767)</f>
        <v>0</v>
      </c>
      <c r="AQ119" s="57" t="s">
        <v>82</v>
      </c>
      <c r="AV119" s="28">
        <f>AW119+AX119</f>
        <v>0</v>
      </c>
      <c r="AW119" s="28">
        <f>I119*AO119</f>
        <v>0</v>
      </c>
      <c r="AX119" s="28">
        <f>I119*AP119</f>
        <v>0</v>
      </c>
      <c r="AY119" s="59" t="s">
        <v>923</v>
      </c>
      <c r="AZ119" s="59" t="s">
        <v>956</v>
      </c>
      <c r="BA119" s="56" t="s">
        <v>966</v>
      </c>
      <c r="BC119" s="28">
        <f>AW119+AX119</f>
        <v>0</v>
      </c>
      <c r="BD119" s="28">
        <f>J119/(100-BE119)*100</f>
        <v>0</v>
      </c>
      <c r="BE119" s="28">
        <v>0</v>
      </c>
      <c r="BF119" s="28">
        <f>119</f>
        <v>119</v>
      </c>
      <c r="BH119" s="60">
        <f>I119*AO119</f>
        <v>0</v>
      </c>
      <c r="BI119" s="60">
        <f>I119*AP119</f>
        <v>0</v>
      </c>
      <c r="BJ119" s="60">
        <f>I119*J119</f>
        <v>0</v>
      </c>
      <c r="BK119" s="60" t="s">
        <v>971</v>
      </c>
      <c r="BL119" s="28">
        <v>41</v>
      </c>
    </row>
    <row r="120" spans="1:64" x14ac:dyDescent="0.25">
      <c r="A120" s="17"/>
      <c r="C120" s="148" t="s">
        <v>563</v>
      </c>
      <c r="D120" s="149"/>
      <c r="E120" s="149"/>
      <c r="F120" s="149"/>
      <c r="G120" s="149"/>
      <c r="I120" s="77">
        <v>11.5</v>
      </c>
      <c r="L120" s="14"/>
      <c r="M120" s="17"/>
    </row>
    <row r="121" spans="1:64" x14ac:dyDescent="0.25">
      <c r="A121" s="33"/>
      <c r="B121" s="40" t="s">
        <v>141</v>
      </c>
      <c r="C121" s="144" t="s">
        <v>564</v>
      </c>
      <c r="D121" s="145"/>
      <c r="E121" s="145"/>
      <c r="F121" s="145"/>
      <c r="G121" s="145"/>
      <c r="H121" s="46" t="s">
        <v>58</v>
      </c>
      <c r="I121" s="46" t="s">
        <v>58</v>
      </c>
      <c r="J121" s="46" t="s">
        <v>58</v>
      </c>
      <c r="K121" s="65">
        <f>SUM(K122:K124)</f>
        <v>0</v>
      </c>
      <c r="L121" s="52"/>
      <c r="M121" s="17"/>
      <c r="AI121" s="56" t="s">
        <v>72</v>
      </c>
      <c r="AS121" s="65">
        <f>SUM(AJ122:AJ124)</f>
        <v>0</v>
      </c>
      <c r="AT121" s="65">
        <f>SUM(AK122:AK124)</f>
        <v>0</v>
      </c>
      <c r="AU121" s="65">
        <f>SUM(AL122:AL124)</f>
        <v>0</v>
      </c>
    </row>
    <row r="122" spans="1:64" x14ac:dyDescent="0.25">
      <c r="A122" s="34" t="s">
        <v>114</v>
      </c>
      <c r="B122" s="41" t="s">
        <v>295</v>
      </c>
      <c r="C122" s="146" t="s">
        <v>565</v>
      </c>
      <c r="D122" s="147"/>
      <c r="E122" s="147"/>
      <c r="F122" s="147"/>
      <c r="G122" s="147"/>
      <c r="H122" s="41" t="s">
        <v>891</v>
      </c>
      <c r="I122" s="76">
        <v>598.35199999999998</v>
      </c>
      <c r="J122" s="60">
        <v>0</v>
      </c>
      <c r="K122" s="60">
        <f>I122*J122</f>
        <v>0</v>
      </c>
      <c r="L122" s="53" t="s">
        <v>906</v>
      </c>
      <c r="M122" s="17"/>
      <c r="Z122" s="28">
        <f>IF(AQ122="5",BJ122,0)</f>
        <v>0</v>
      </c>
      <c r="AB122" s="28">
        <f>IF(AQ122="1",BH122,0)</f>
        <v>0</v>
      </c>
      <c r="AC122" s="28">
        <f>IF(AQ122="1",BI122,0)</f>
        <v>0</v>
      </c>
      <c r="AD122" s="28">
        <f>IF(AQ122="7",BH122,0)</f>
        <v>0</v>
      </c>
      <c r="AE122" s="28">
        <f>IF(AQ122="7",BI122,0)</f>
        <v>0</v>
      </c>
      <c r="AF122" s="28">
        <f>IF(AQ122="2",BH122,0)</f>
        <v>0</v>
      </c>
      <c r="AG122" s="28">
        <f>IF(AQ122="2",BI122,0)</f>
        <v>0</v>
      </c>
      <c r="AH122" s="28">
        <f>IF(AQ122="0",BJ122,0)</f>
        <v>0</v>
      </c>
      <c r="AI122" s="56" t="s">
        <v>72</v>
      </c>
      <c r="AJ122" s="60">
        <f>IF(AN122=0,K122,0)</f>
        <v>0</v>
      </c>
      <c r="AK122" s="60">
        <f>IF(AN122=15,K122,0)</f>
        <v>0</v>
      </c>
      <c r="AL122" s="60">
        <f>IF(AN122=21,K122,0)</f>
        <v>0</v>
      </c>
      <c r="AN122" s="28">
        <v>21</v>
      </c>
      <c r="AO122" s="28">
        <f>J122*0.416346310800363</f>
        <v>0</v>
      </c>
      <c r="AP122" s="28">
        <f>J122*(1-0.416346310800363)</f>
        <v>0</v>
      </c>
      <c r="AQ122" s="57" t="s">
        <v>82</v>
      </c>
      <c r="AV122" s="28">
        <f>AW122+AX122</f>
        <v>0</v>
      </c>
      <c r="AW122" s="28">
        <f>I122*AO122</f>
        <v>0</v>
      </c>
      <c r="AX122" s="28">
        <f>I122*AP122</f>
        <v>0</v>
      </c>
      <c r="AY122" s="59" t="s">
        <v>924</v>
      </c>
      <c r="AZ122" s="59" t="s">
        <v>957</v>
      </c>
      <c r="BA122" s="56" t="s">
        <v>966</v>
      </c>
      <c r="BC122" s="28">
        <f>AW122+AX122</f>
        <v>0</v>
      </c>
      <c r="BD122" s="28">
        <f>J122/(100-BE122)*100</f>
        <v>0</v>
      </c>
      <c r="BE122" s="28">
        <v>0</v>
      </c>
      <c r="BF122" s="28">
        <f>122</f>
        <v>122</v>
      </c>
      <c r="BH122" s="60">
        <f>I122*AO122</f>
        <v>0</v>
      </c>
      <c r="BI122" s="60">
        <f>I122*AP122</f>
        <v>0</v>
      </c>
      <c r="BJ122" s="60">
        <f>I122*J122</f>
        <v>0</v>
      </c>
      <c r="BK122" s="60" t="s">
        <v>971</v>
      </c>
      <c r="BL122" s="28">
        <v>60</v>
      </c>
    </row>
    <row r="123" spans="1:64" x14ac:dyDescent="0.25">
      <c r="A123" s="17"/>
      <c r="C123" s="148" t="s">
        <v>566</v>
      </c>
      <c r="D123" s="149"/>
      <c r="E123" s="149"/>
      <c r="F123" s="149"/>
      <c r="G123" s="149"/>
      <c r="I123" s="77">
        <v>598.35199999999998</v>
      </c>
      <c r="L123" s="14"/>
      <c r="M123" s="17"/>
    </row>
    <row r="124" spans="1:64" x14ac:dyDescent="0.25">
      <c r="A124" s="34" t="s">
        <v>115</v>
      </c>
      <c r="B124" s="41" t="s">
        <v>296</v>
      </c>
      <c r="C124" s="146" t="s">
        <v>567</v>
      </c>
      <c r="D124" s="147"/>
      <c r="E124" s="147"/>
      <c r="F124" s="147"/>
      <c r="G124" s="147"/>
      <c r="H124" s="41" t="s">
        <v>891</v>
      </c>
      <c r="I124" s="76">
        <v>152.88800000000001</v>
      </c>
      <c r="J124" s="60">
        <v>0</v>
      </c>
      <c r="K124" s="60">
        <f>I124*J124</f>
        <v>0</v>
      </c>
      <c r="L124" s="53" t="s">
        <v>906</v>
      </c>
      <c r="M124" s="17"/>
      <c r="Z124" s="28">
        <f>IF(AQ124="5",BJ124,0)</f>
        <v>0</v>
      </c>
      <c r="AB124" s="28">
        <f>IF(AQ124="1",BH124,0)</f>
        <v>0</v>
      </c>
      <c r="AC124" s="28">
        <f>IF(AQ124="1",BI124,0)</f>
        <v>0</v>
      </c>
      <c r="AD124" s="28">
        <f>IF(AQ124="7",BH124,0)</f>
        <v>0</v>
      </c>
      <c r="AE124" s="28">
        <f>IF(AQ124="7",BI124,0)</f>
        <v>0</v>
      </c>
      <c r="AF124" s="28">
        <f>IF(AQ124="2",BH124,0)</f>
        <v>0</v>
      </c>
      <c r="AG124" s="28">
        <f>IF(AQ124="2",BI124,0)</f>
        <v>0</v>
      </c>
      <c r="AH124" s="28">
        <f>IF(AQ124="0",BJ124,0)</f>
        <v>0</v>
      </c>
      <c r="AI124" s="56" t="s">
        <v>72</v>
      </c>
      <c r="AJ124" s="60">
        <f>IF(AN124=0,K124,0)</f>
        <v>0</v>
      </c>
      <c r="AK124" s="60">
        <f>IF(AN124=15,K124,0)</f>
        <v>0</v>
      </c>
      <c r="AL124" s="60">
        <f>IF(AN124=21,K124,0)</f>
        <v>0</v>
      </c>
      <c r="AN124" s="28">
        <v>21</v>
      </c>
      <c r="AO124" s="28">
        <f>J124*0.358739714062049</f>
        <v>0</v>
      </c>
      <c r="AP124" s="28">
        <f>J124*(1-0.358739714062049)</f>
        <v>0</v>
      </c>
      <c r="AQ124" s="57" t="s">
        <v>82</v>
      </c>
      <c r="AV124" s="28">
        <f>AW124+AX124</f>
        <v>0</v>
      </c>
      <c r="AW124" s="28">
        <f>I124*AO124</f>
        <v>0</v>
      </c>
      <c r="AX124" s="28">
        <f>I124*AP124</f>
        <v>0</v>
      </c>
      <c r="AY124" s="59" t="s">
        <v>924</v>
      </c>
      <c r="AZ124" s="59" t="s">
        <v>957</v>
      </c>
      <c r="BA124" s="56" t="s">
        <v>966</v>
      </c>
      <c r="BC124" s="28">
        <f>AW124+AX124</f>
        <v>0</v>
      </c>
      <c r="BD124" s="28">
        <f>J124/(100-BE124)*100</f>
        <v>0</v>
      </c>
      <c r="BE124" s="28">
        <v>0</v>
      </c>
      <c r="BF124" s="28">
        <f>124</f>
        <v>124</v>
      </c>
      <c r="BH124" s="60">
        <f>I124*AO124</f>
        <v>0</v>
      </c>
      <c r="BI124" s="60">
        <f>I124*AP124</f>
        <v>0</v>
      </c>
      <c r="BJ124" s="60">
        <f>I124*J124</f>
        <v>0</v>
      </c>
      <c r="BK124" s="60" t="s">
        <v>971</v>
      </c>
      <c r="BL124" s="28">
        <v>60</v>
      </c>
    </row>
    <row r="125" spans="1:64" x14ac:dyDescent="0.25">
      <c r="A125" s="17"/>
      <c r="C125" s="148" t="s">
        <v>568</v>
      </c>
      <c r="D125" s="149"/>
      <c r="E125" s="149"/>
      <c r="F125" s="149"/>
      <c r="G125" s="149"/>
      <c r="I125" s="77">
        <v>152.88800000000001</v>
      </c>
      <c r="L125" s="14"/>
      <c r="M125" s="17"/>
    </row>
    <row r="126" spans="1:64" x14ac:dyDescent="0.25">
      <c r="A126" s="33"/>
      <c r="B126" s="40" t="s">
        <v>142</v>
      </c>
      <c r="C126" s="144" t="s">
        <v>569</v>
      </c>
      <c r="D126" s="145"/>
      <c r="E126" s="145"/>
      <c r="F126" s="145"/>
      <c r="G126" s="145"/>
      <c r="H126" s="46" t="s">
        <v>58</v>
      </c>
      <c r="I126" s="46" t="s">
        <v>58</v>
      </c>
      <c r="J126" s="46" t="s">
        <v>58</v>
      </c>
      <c r="K126" s="65">
        <f>SUM(K127:K130)</f>
        <v>0</v>
      </c>
      <c r="L126" s="52"/>
      <c r="M126" s="17"/>
      <c r="AI126" s="56" t="s">
        <v>72</v>
      </c>
      <c r="AS126" s="65">
        <f>SUM(AJ127:AJ130)</f>
        <v>0</v>
      </c>
      <c r="AT126" s="65">
        <f>SUM(AK127:AK130)</f>
        <v>0</v>
      </c>
      <c r="AU126" s="65">
        <f>SUM(AL127:AL130)</f>
        <v>0</v>
      </c>
    </row>
    <row r="127" spans="1:64" x14ac:dyDescent="0.25">
      <c r="A127" s="34" t="s">
        <v>116</v>
      </c>
      <c r="B127" s="41" t="s">
        <v>297</v>
      </c>
      <c r="C127" s="146" t="s">
        <v>570</v>
      </c>
      <c r="D127" s="147"/>
      <c r="E127" s="147"/>
      <c r="F127" s="147"/>
      <c r="G127" s="147"/>
      <c r="H127" s="41" t="s">
        <v>891</v>
      </c>
      <c r="I127" s="76">
        <v>152.88800000000001</v>
      </c>
      <c r="J127" s="60">
        <v>0</v>
      </c>
      <c r="K127" s="60">
        <f>I127*J127</f>
        <v>0</v>
      </c>
      <c r="L127" s="53" t="s">
        <v>906</v>
      </c>
      <c r="M127" s="17"/>
      <c r="Z127" s="28">
        <f>IF(AQ127="5",BJ127,0)</f>
        <v>0</v>
      </c>
      <c r="AB127" s="28">
        <f>IF(AQ127="1",BH127,0)</f>
        <v>0</v>
      </c>
      <c r="AC127" s="28">
        <f>IF(AQ127="1",BI127,0)</f>
        <v>0</v>
      </c>
      <c r="AD127" s="28">
        <f>IF(AQ127="7",BH127,0)</f>
        <v>0</v>
      </c>
      <c r="AE127" s="28">
        <f>IF(AQ127="7",BI127,0)</f>
        <v>0</v>
      </c>
      <c r="AF127" s="28">
        <f>IF(AQ127="2",BH127,0)</f>
        <v>0</v>
      </c>
      <c r="AG127" s="28">
        <f>IF(AQ127="2",BI127,0)</f>
        <v>0</v>
      </c>
      <c r="AH127" s="28">
        <f>IF(AQ127="0",BJ127,0)</f>
        <v>0</v>
      </c>
      <c r="AI127" s="56" t="s">
        <v>72</v>
      </c>
      <c r="AJ127" s="60">
        <f>IF(AN127=0,K127,0)</f>
        <v>0</v>
      </c>
      <c r="AK127" s="60">
        <f>IF(AN127=15,K127,0)</f>
        <v>0</v>
      </c>
      <c r="AL127" s="60">
        <f>IF(AN127=21,K127,0)</f>
        <v>0</v>
      </c>
      <c r="AN127" s="28">
        <v>21</v>
      </c>
      <c r="AO127" s="28">
        <f>J127*0.294415000632645</f>
        <v>0</v>
      </c>
      <c r="AP127" s="28">
        <f>J127*(1-0.294415000632645)</f>
        <v>0</v>
      </c>
      <c r="AQ127" s="57" t="s">
        <v>82</v>
      </c>
      <c r="AV127" s="28">
        <f>AW127+AX127</f>
        <v>0</v>
      </c>
      <c r="AW127" s="28">
        <f>I127*AO127</f>
        <v>0</v>
      </c>
      <c r="AX127" s="28">
        <f>I127*AP127</f>
        <v>0</v>
      </c>
      <c r="AY127" s="59" t="s">
        <v>925</v>
      </c>
      <c r="AZ127" s="59" t="s">
        <v>957</v>
      </c>
      <c r="BA127" s="56" t="s">
        <v>966</v>
      </c>
      <c r="BC127" s="28">
        <f>AW127+AX127</f>
        <v>0</v>
      </c>
      <c r="BD127" s="28">
        <f>J127/(100-BE127)*100</f>
        <v>0</v>
      </c>
      <c r="BE127" s="28">
        <v>0</v>
      </c>
      <c r="BF127" s="28">
        <f>127</f>
        <v>127</v>
      </c>
      <c r="BH127" s="60">
        <f>I127*AO127</f>
        <v>0</v>
      </c>
      <c r="BI127" s="60">
        <f>I127*AP127</f>
        <v>0</v>
      </c>
      <c r="BJ127" s="60">
        <f>I127*J127</f>
        <v>0</v>
      </c>
      <c r="BK127" s="60" t="s">
        <v>971</v>
      </c>
      <c r="BL127" s="28">
        <v>61</v>
      </c>
    </row>
    <row r="128" spans="1:64" x14ac:dyDescent="0.25">
      <c r="A128" s="17"/>
      <c r="C128" s="148" t="s">
        <v>571</v>
      </c>
      <c r="D128" s="149"/>
      <c r="E128" s="149"/>
      <c r="F128" s="149"/>
      <c r="G128" s="149"/>
      <c r="I128" s="77">
        <v>152.88800000000001</v>
      </c>
      <c r="L128" s="14"/>
      <c r="M128" s="17"/>
    </row>
    <row r="129" spans="1:64" x14ac:dyDescent="0.25">
      <c r="A129" s="17"/>
      <c r="C129" s="148" t="s">
        <v>572</v>
      </c>
      <c r="D129" s="149"/>
      <c r="E129" s="149"/>
      <c r="F129" s="149"/>
      <c r="G129" s="149"/>
      <c r="I129" s="77">
        <v>0</v>
      </c>
      <c r="L129" s="14"/>
      <c r="M129" s="17"/>
    </row>
    <row r="130" spans="1:64" x14ac:dyDescent="0.25">
      <c r="A130" s="34" t="s">
        <v>117</v>
      </c>
      <c r="B130" s="41" t="s">
        <v>298</v>
      </c>
      <c r="C130" s="146" t="s">
        <v>573</v>
      </c>
      <c r="D130" s="147"/>
      <c r="E130" s="147"/>
      <c r="F130" s="147"/>
      <c r="G130" s="147"/>
      <c r="H130" s="41" t="s">
        <v>891</v>
      </c>
      <c r="I130" s="76">
        <v>598.35199999999998</v>
      </c>
      <c r="J130" s="60">
        <v>0</v>
      </c>
      <c r="K130" s="60">
        <f>I130*J130</f>
        <v>0</v>
      </c>
      <c r="L130" s="53" t="s">
        <v>906</v>
      </c>
      <c r="M130" s="17"/>
      <c r="Z130" s="28">
        <f>IF(AQ130="5",BJ130,0)</f>
        <v>0</v>
      </c>
      <c r="AB130" s="28">
        <f>IF(AQ130="1",BH130,0)</f>
        <v>0</v>
      </c>
      <c r="AC130" s="28">
        <f>IF(AQ130="1",BI130,0)</f>
        <v>0</v>
      </c>
      <c r="AD130" s="28">
        <f>IF(AQ130="7",BH130,0)</f>
        <v>0</v>
      </c>
      <c r="AE130" s="28">
        <f>IF(AQ130="7",BI130,0)</f>
        <v>0</v>
      </c>
      <c r="AF130" s="28">
        <f>IF(AQ130="2",BH130,0)</f>
        <v>0</v>
      </c>
      <c r="AG130" s="28">
        <f>IF(AQ130="2",BI130,0)</f>
        <v>0</v>
      </c>
      <c r="AH130" s="28">
        <f>IF(AQ130="0",BJ130,0)</f>
        <v>0</v>
      </c>
      <c r="AI130" s="56" t="s">
        <v>72</v>
      </c>
      <c r="AJ130" s="60">
        <f>IF(AN130=0,K130,0)</f>
        <v>0</v>
      </c>
      <c r="AK130" s="60">
        <f>IF(AN130=15,K130,0)</f>
        <v>0</v>
      </c>
      <c r="AL130" s="60">
        <f>IF(AN130=21,K130,0)</f>
        <v>0</v>
      </c>
      <c r="AN130" s="28">
        <v>21</v>
      </c>
      <c r="AO130" s="28">
        <f>J130*0.251966391217328</f>
        <v>0</v>
      </c>
      <c r="AP130" s="28">
        <f>J130*(1-0.251966391217328)</f>
        <v>0</v>
      </c>
      <c r="AQ130" s="57" t="s">
        <v>82</v>
      </c>
      <c r="AV130" s="28">
        <f>AW130+AX130</f>
        <v>0</v>
      </c>
      <c r="AW130" s="28">
        <f>I130*AO130</f>
        <v>0</v>
      </c>
      <c r="AX130" s="28">
        <f>I130*AP130</f>
        <v>0</v>
      </c>
      <c r="AY130" s="59" t="s">
        <v>925</v>
      </c>
      <c r="AZ130" s="59" t="s">
        <v>957</v>
      </c>
      <c r="BA130" s="56" t="s">
        <v>966</v>
      </c>
      <c r="BC130" s="28">
        <f>AW130+AX130</f>
        <v>0</v>
      </c>
      <c r="BD130" s="28">
        <f>J130/(100-BE130)*100</f>
        <v>0</v>
      </c>
      <c r="BE130" s="28">
        <v>0</v>
      </c>
      <c r="BF130" s="28">
        <f>130</f>
        <v>130</v>
      </c>
      <c r="BH130" s="60">
        <f>I130*AO130</f>
        <v>0</v>
      </c>
      <c r="BI130" s="60">
        <f>I130*AP130</f>
        <v>0</v>
      </c>
      <c r="BJ130" s="60">
        <f>I130*J130</f>
        <v>0</v>
      </c>
      <c r="BK130" s="60" t="s">
        <v>971</v>
      </c>
      <c r="BL130" s="28">
        <v>61</v>
      </c>
    </row>
    <row r="131" spans="1:64" x14ac:dyDescent="0.25">
      <c r="A131" s="17"/>
      <c r="C131" s="148" t="s">
        <v>574</v>
      </c>
      <c r="D131" s="149"/>
      <c r="E131" s="149"/>
      <c r="F131" s="149"/>
      <c r="G131" s="149"/>
      <c r="I131" s="77">
        <v>412.04599999999999</v>
      </c>
      <c r="L131" s="14"/>
      <c r="M131" s="17"/>
    </row>
    <row r="132" spans="1:64" x14ac:dyDescent="0.25">
      <c r="A132" s="17"/>
      <c r="C132" s="148" t="s">
        <v>575</v>
      </c>
      <c r="D132" s="149"/>
      <c r="E132" s="149"/>
      <c r="F132" s="149"/>
      <c r="G132" s="149"/>
      <c r="I132" s="77">
        <v>186.30600000000001</v>
      </c>
      <c r="L132" s="14"/>
      <c r="M132" s="17"/>
    </row>
    <row r="133" spans="1:64" x14ac:dyDescent="0.25">
      <c r="A133" s="33"/>
      <c r="B133" s="40" t="s">
        <v>143</v>
      </c>
      <c r="C133" s="144" t="s">
        <v>576</v>
      </c>
      <c r="D133" s="145"/>
      <c r="E133" s="145"/>
      <c r="F133" s="145"/>
      <c r="G133" s="145"/>
      <c r="H133" s="46" t="s">
        <v>58</v>
      </c>
      <c r="I133" s="46" t="s">
        <v>58</v>
      </c>
      <c r="J133" s="46" t="s">
        <v>58</v>
      </c>
      <c r="K133" s="65">
        <f>SUM(K134:K134)</f>
        <v>0</v>
      </c>
      <c r="L133" s="52"/>
      <c r="M133" s="17"/>
      <c r="AI133" s="56" t="s">
        <v>72</v>
      </c>
      <c r="AS133" s="65">
        <f>SUM(AJ134:AJ134)</f>
        <v>0</v>
      </c>
      <c r="AT133" s="65">
        <f>SUM(AK134:AK134)</f>
        <v>0</v>
      </c>
      <c r="AU133" s="65">
        <f>SUM(AL134:AL134)</f>
        <v>0</v>
      </c>
    </row>
    <row r="134" spans="1:64" x14ac:dyDescent="0.25">
      <c r="A134" s="34" t="s">
        <v>118</v>
      </c>
      <c r="B134" s="41" t="s">
        <v>299</v>
      </c>
      <c r="C134" s="146" t="s">
        <v>577</v>
      </c>
      <c r="D134" s="147"/>
      <c r="E134" s="147"/>
      <c r="F134" s="147"/>
      <c r="G134" s="147"/>
      <c r="H134" s="41" t="s">
        <v>891</v>
      </c>
      <c r="I134" s="76">
        <v>244.74</v>
      </c>
      <c r="J134" s="60">
        <v>0</v>
      </c>
      <c r="K134" s="60">
        <f>I134*J134</f>
        <v>0</v>
      </c>
      <c r="L134" s="53" t="s">
        <v>906</v>
      </c>
      <c r="M134" s="17"/>
      <c r="Z134" s="28">
        <f>IF(AQ134="5",BJ134,0)</f>
        <v>0</v>
      </c>
      <c r="AB134" s="28">
        <f>IF(AQ134="1",BH134,0)</f>
        <v>0</v>
      </c>
      <c r="AC134" s="28">
        <f>IF(AQ134="1",BI134,0)</f>
        <v>0</v>
      </c>
      <c r="AD134" s="28">
        <f>IF(AQ134="7",BH134,0)</f>
        <v>0</v>
      </c>
      <c r="AE134" s="28">
        <f>IF(AQ134="7",BI134,0)</f>
        <v>0</v>
      </c>
      <c r="AF134" s="28">
        <f>IF(AQ134="2",BH134,0)</f>
        <v>0</v>
      </c>
      <c r="AG134" s="28">
        <f>IF(AQ134="2",BI134,0)</f>
        <v>0</v>
      </c>
      <c r="AH134" s="28">
        <f>IF(AQ134="0",BJ134,0)</f>
        <v>0</v>
      </c>
      <c r="AI134" s="56" t="s">
        <v>72</v>
      </c>
      <c r="AJ134" s="60">
        <f>IF(AN134=0,K134,0)</f>
        <v>0</v>
      </c>
      <c r="AK134" s="60">
        <f>IF(AN134=15,K134,0)</f>
        <v>0</v>
      </c>
      <c r="AL134" s="60">
        <f>IF(AN134=21,K134,0)</f>
        <v>0</v>
      </c>
      <c r="AN134" s="28">
        <v>21</v>
      </c>
      <c r="AO134" s="28">
        <f>J134*0.468365217391304</f>
        <v>0</v>
      </c>
      <c r="AP134" s="28">
        <f>J134*(1-0.468365217391304)</f>
        <v>0</v>
      </c>
      <c r="AQ134" s="57" t="s">
        <v>82</v>
      </c>
      <c r="AV134" s="28">
        <f>AW134+AX134</f>
        <v>0</v>
      </c>
      <c r="AW134" s="28">
        <f>I134*AO134</f>
        <v>0</v>
      </c>
      <c r="AX134" s="28">
        <f>I134*AP134</f>
        <v>0</v>
      </c>
      <c r="AY134" s="59" t="s">
        <v>926</v>
      </c>
      <c r="AZ134" s="59" t="s">
        <v>957</v>
      </c>
      <c r="BA134" s="56" t="s">
        <v>966</v>
      </c>
      <c r="BC134" s="28">
        <f>AW134+AX134</f>
        <v>0</v>
      </c>
      <c r="BD134" s="28">
        <f>J134/(100-BE134)*100</f>
        <v>0</v>
      </c>
      <c r="BE134" s="28">
        <v>0</v>
      </c>
      <c r="BF134" s="28">
        <f>134</f>
        <v>134</v>
      </c>
      <c r="BH134" s="60">
        <f>I134*AO134</f>
        <v>0</v>
      </c>
      <c r="BI134" s="60">
        <f>I134*AP134</f>
        <v>0</v>
      </c>
      <c r="BJ134" s="60">
        <f>I134*J134</f>
        <v>0</v>
      </c>
      <c r="BK134" s="60" t="s">
        <v>971</v>
      </c>
      <c r="BL134" s="28">
        <v>62</v>
      </c>
    </row>
    <row r="135" spans="1:64" x14ac:dyDescent="0.25">
      <c r="A135" s="17"/>
      <c r="C135" s="148" t="s">
        <v>578</v>
      </c>
      <c r="D135" s="149"/>
      <c r="E135" s="149"/>
      <c r="F135" s="149"/>
      <c r="G135" s="149"/>
      <c r="I135" s="77">
        <v>55.81</v>
      </c>
      <c r="L135" s="14"/>
      <c r="M135" s="17"/>
    </row>
    <row r="136" spans="1:64" x14ac:dyDescent="0.25">
      <c r="A136" s="17"/>
      <c r="C136" s="148" t="s">
        <v>579</v>
      </c>
      <c r="D136" s="149"/>
      <c r="E136" s="149"/>
      <c r="F136" s="149"/>
      <c r="G136" s="149"/>
      <c r="I136" s="77">
        <v>51.42</v>
      </c>
      <c r="L136" s="14"/>
      <c r="M136" s="17"/>
    </row>
    <row r="137" spans="1:64" x14ac:dyDescent="0.25">
      <c r="A137" s="17"/>
      <c r="C137" s="148" t="s">
        <v>580</v>
      </c>
      <c r="D137" s="149"/>
      <c r="E137" s="149"/>
      <c r="F137" s="149"/>
      <c r="G137" s="149"/>
      <c r="I137" s="77">
        <v>66.23</v>
      </c>
      <c r="L137" s="14"/>
      <c r="M137" s="17"/>
    </row>
    <row r="138" spans="1:64" x14ac:dyDescent="0.25">
      <c r="A138" s="17"/>
      <c r="C138" s="148" t="s">
        <v>581</v>
      </c>
      <c r="D138" s="149"/>
      <c r="E138" s="149"/>
      <c r="F138" s="149"/>
      <c r="G138" s="149"/>
      <c r="I138" s="77">
        <v>59.15</v>
      </c>
      <c r="L138" s="14"/>
      <c r="M138" s="17"/>
    </row>
    <row r="139" spans="1:64" x14ac:dyDescent="0.25">
      <c r="A139" s="17"/>
      <c r="C139" s="148" t="s">
        <v>582</v>
      </c>
      <c r="D139" s="149"/>
      <c r="E139" s="149"/>
      <c r="F139" s="149"/>
      <c r="G139" s="149"/>
      <c r="I139" s="77">
        <v>12.13</v>
      </c>
      <c r="L139" s="14"/>
      <c r="M139" s="17"/>
    </row>
    <row r="140" spans="1:64" x14ac:dyDescent="0.25">
      <c r="A140" s="33"/>
      <c r="B140" s="40" t="s">
        <v>144</v>
      </c>
      <c r="C140" s="144" t="s">
        <v>583</v>
      </c>
      <c r="D140" s="145"/>
      <c r="E140" s="145"/>
      <c r="F140" s="145"/>
      <c r="G140" s="145"/>
      <c r="H140" s="46" t="s">
        <v>58</v>
      </c>
      <c r="I140" s="46" t="s">
        <v>58</v>
      </c>
      <c r="J140" s="46" t="s">
        <v>58</v>
      </c>
      <c r="K140" s="65">
        <f>SUM(K141:K154)</f>
        <v>0</v>
      </c>
      <c r="L140" s="52"/>
      <c r="M140" s="17"/>
      <c r="AI140" s="56" t="s">
        <v>72</v>
      </c>
      <c r="AS140" s="65">
        <f>SUM(AJ141:AJ154)</f>
        <v>0</v>
      </c>
      <c r="AT140" s="65">
        <f>SUM(AK141:AK154)</f>
        <v>0</v>
      </c>
      <c r="AU140" s="65">
        <f>SUM(AL141:AL154)</f>
        <v>0</v>
      </c>
    </row>
    <row r="141" spans="1:64" x14ac:dyDescent="0.25">
      <c r="A141" s="34" t="s">
        <v>119</v>
      </c>
      <c r="B141" s="41" t="s">
        <v>300</v>
      </c>
      <c r="C141" s="146" t="s">
        <v>584</v>
      </c>
      <c r="D141" s="147"/>
      <c r="E141" s="147"/>
      <c r="F141" s="147"/>
      <c r="G141" s="147"/>
      <c r="H141" s="41" t="s">
        <v>891</v>
      </c>
      <c r="I141" s="76">
        <v>254.69</v>
      </c>
      <c r="J141" s="60">
        <v>0</v>
      </c>
      <c r="K141" s="60">
        <f>I141*J141</f>
        <v>0</v>
      </c>
      <c r="L141" s="53" t="s">
        <v>906</v>
      </c>
      <c r="M141" s="17"/>
      <c r="Z141" s="28">
        <f>IF(AQ141="5",BJ141,0)</f>
        <v>0</v>
      </c>
      <c r="AB141" s="28">
        <f>IF(AQ141="1",BH141,0)</f>
        <v>0</v>
      </c>
      <c r="AC141" s="28">
        <f>IF(AQ141="1",BI141,0)</f>
        <v>0</v>
      </c>
      <c r="AD141" s="28">
        <f>IF(AQ141="7",BH141,0)</f>
        <v>0</v>
      </c>
      <c r="AE141" s="28">
        <f>IF(AQ141="7",BI141,0)</f>
        <v>0</v>
      </c>
      <c r="AF141" s="28">
        <f>IF(AQ141="2",BH141,0)</f>
        <v>0</v>
      </c>
      <c r="AG141" s="28">
        <f>IF(AQ141="2",BI141,0)</f>
        <v>0</v>
      </c>
      <c r="AH141" s="28">
        <f>IF(AQ141="0",BJ141,0)</f>
        <v>0</v>
      </c>
      <c r="AI141" s="56" t="s">
        <v>72</v>
      </c>
      <c r="AJ141" s="60">
        <f>IF(AN141=0,K141,0)</f>
        <v>0</v>
      </c>
      <c r="AK141" s="60">
        <f>IF(AN141=15,K141,0)</f>
        <v>0</v>
      </c>
      <c r="AL141" s="60">
        <f>IF(AN141=21,K141,0)</f>
        <v>0</v>
      </c>
      <c r="AN141" s="28">
        <v>21</v>
      </c>
      <c r="AO141" s="28">
        <f>J141*0.584057673981875</f>
        <v>0</v>
      </c>
      <c r="AP141" s="28">
        <f>J141*(1-0.584057673981875)</f>
        <v>0</v>
      </c>
      <c r="AQ141" s="57" t="s">
        <v>82</v>
      </c>
      <c r="AV141" s="28">
        <f>AW141+AX141</f>
        <v>0</v>
      </c>
      <c r="AW141" s="28">
        <f>I141*AO141</f>
        <v>0</v>
      </c>
      <c r="AX141" s="28">
        <f>I141*AP141</f>
        <v>0</v>
      </c>
      <c r="AY141" s="59" t="s">
        <v>927</v>
      </c>
      <c r="AZ141" s="59" t="s">
        <v>957</v>
      </c>
      <c r="BA141" s="56" t="s">
        <v>966</v>
      </c>
      <c r="BC141" s="28">
        <f>AW141+AX141</f>
        <v>0</v>
      </c>
      <c r="BD141" s="28">
        <f>J141/(100-BE141)*100</f>
        <v>0</v>
      </c>
      <c r="BE141" s="28">
        <v>0</v>
      </c>
      <c r="BF141" s="28">
        <f>141</f>
        <v>141</v>
      </c>
      <c r="BH141" s="60">
        <f>I141*AO141</f>
        <v>0</v>
      </c>
      <c r="BI141" s="60">
        <f>I141*AP141</f>
        <v>0</v>
      </c>
      <c r="BJ141" s="60">
        <f>I141*J141</f>
        <v>0</v>
      </c>
      <c r="BK141" s="60" t="s">
        <v>971</v>
      </c>
      <c r="BL141" s="28">
        <v>63</v>
      </c>
    </row>
    <row r="142" spans="1:64" x14ac:dyDescent="0.25">
      <c r="A142" s="17"/>
      <c r="C142" s="148" t="s">
        <v>585</v>
      </c>
      <c r="D142" s="149"/>
      <c r="E142" s="149"/>
      <c r="F142" s="149"/>
      <c r="G142" s="149"/>
      <c r="I142" s="77">
        <v>0</v>
      </c>
      <c r="L142" s="14"/>
      <c r="M142" s="17"/>
    </row>
    <row r="143" spans="1:64" x14ac:dyDescent="0.25">
      <c r="A143" s="17"/>
      <c r="C143" s="148" t="s">
        <v>586</v>
      </c>
      <c r="D143" s="149"/>
      <c r="E143" s="149"/>
      <c r="F143" s="149"/>
      <c r="G143" s="149"/>
      <c r="I143" s="77">
        <v>108.55</v>
      </c>
      <c r="L143" s="14"/>
      <c r="M143" s="17"/>
    </row>
    <row r="144" spans="1:64" x14ac:dyDescent="0.25">
      <c r="A144" s="17"/>
      <c r="C144" s="148" t="s">
        <v>587</v>
      </c>
      <c r="D144" s="149"/>
      <c r="E144" s="149"/>
      <c r="F144" s="149"/>
      <c r="G144" s="149"/>
      <c r="I144" s="77">
        <v>0</v>
      </c>
      <c r="L144" s="14"/>
      <c r="M144" s="17"/>
    </row>
    <row r="145" spans="1:64" x14ac:dyDescent="0.25">
      <c r="A145" s="17"/>
      <c r="C145" s="148" t="s">
        <v>588</v>
      </c>
      <c r="D145" s="149"/>
      <c r="E145" s="149"/>
      <c r="F145" s="149"/>
      <c r="G145" s="149"/>
      <c r="I145" s="77">
        <v>146.13999999999999</v>
      </c>
      <c r="L145" s="14"/>
      <c r="M145" s="17"/>
    </row>
    <row r="146" spans="1:64" x14ac:dyDescent="0.25">
      <c r="A146" s="34" t="s">
        <v>120</v>
      </c>
      <c r="B146" s="41" t="s">
        <v>301</v>
      </c>
      <c r="C146" s="146" t="s">
        <v>589</v>
      </c>
      <c r="D146" s="147"/>
      <c r="E146" s="147"/>
      <c r="F146" s="147"/>
      <c r="G146" s="147"/>
      <c r="H146" s="41" t="s">
        <v>891</v>
      </c>
      <c r="I146" s="76">
        <v>1093.94</v>
      </c>
      <c r="J146" s="60">
        <v>0</v>
      </c>
      <c r="K146" s="60">
        <f>I146*J146</f>
        <v>0</v>
      </c>
      <c r="L146" s="53" t="s">
        <v>906</v>
      </c>
      <c r="M146" s="17"/>
      <c r="Z146" s="28">
        <f>IF(AQ146="5",BJ146,0)</f>
        <v>0</v>
      </c>
      <c r="AB146" s="28">
        <f>IF(AQ146="1",BH146,0)</f>
        <v>0</v>
      </c>
      <c r="AC146" s="28">
        <f>IF(AQ146="1",BI146,0)</f>
        <v>0</v>
      </c>
      <c r="AD146" s="28">
        <f>IF(AQ146="7",BH146,0)</f>
        <v>0</v>
      </c>
      <c r="AE146" s="28">
        <f>IF(AQ146="7",BI146,0)</f>
        <v>0</v>
      </c>
      <c r="AF146" s="28">
        <f>IF(AQ146="2",BH146,0)</f>
        <v>0</v>
      </c>
      <c r="AG146" s="28">
        <f>IF(AQ146="2",BI146,0)</f>
        <v>0</v>
      </c>
      <c r="AH146" s="28">
        <f>IF(AQ146="0",BJ146,0)</f>
        <v>0</v>
      </c>
      <c r="AI146" s="56" t="s">
        <v>72</v>
      </c>
      <c r="AJ146" s="60">
        <f>IF(AN146=0,K146,0)</f>
        <v>0</v>
      </c>
      <c r="AK146" s="60">
        <f>IF(AN146=15,K146,0)</f>
        <v>0</v>
      </c>
      <c r="AL146" s="60">
        <f>IF(AN146=21,K146,0)</f>
        <v>0</v>
      </c>
      <c r="AN146" s="28">
        <v>21</v>
      </c>
      <c r="AO146" s="28">
        <f>J146*0.756295784184938</f>
        <v>0</v>
      </c>
      <c r="AP146" s="28">
        <f>J146*(1-0.756295784184938)</f>
        <v>0</v>
      </c>
      <c r="AQ146" s="57" t="s">
        <v>82</v>
      </c>
      <c r="AV146" s="28">
        <f>AW146+AX146</f>
        <v>0</v>
      </c>
      <c r="AW146" s="28">
        <f>I146*AO146</f>
        <v>0</v>
      </c>
      <c r="AX146" s="28">
        <f>I146*AP146</f>
        <v>0</v>
      </c>
      <c r="AY146" s="59" t="s">
        <v>927</v>
      </c>
      <c r="AZ146" s="59" t="s">
        <v>957</v>
      </c>
      <c r="BA146" s="56" t="s">
        <v>966</v>
      </c>
      <c r="BC146" s="28">
        <f>AW146+AX146</f>
        <v>0</v>
      </c>
      <c r="BD146" s="28">
        <f>J146/(100-BE146)*100</f>
        <v>0</v>
      </c>
      <c r="BE146" s="28">
        <v>0</v>
      </c>
      <c r="BF146" s="28">
        <f>146</f>
        <v>146</v>
      </c>
      <c r="BH146" s="60">
        <f>I146*AO146</f>
        <v>0</v>
      </c>
      <c r="BI146" s="60">
        <f>I146*AP146</f>
        <v>0</v>
      </c>
      <c r="BJ146" s="60">
        <f>I146*J146</f>
        <v>0</v>
      </c>
      <c r="BK146" s="60" t="s">
        <v>971</v>
      </c>
      <c r="BL146" s="28">
        <v>63</v>
      </c>
    </row>
    <row r="147" spans="1:64" x14ac:dyDescent="0.25">
      <c r="A147" s="17"/>
      <c r="C147" s="148" t="s">
        <v>585</v>
      </c>
      <c r="D147" s="149"/>
      <c r="E147" s="149"/>
      <c r="F147" s="149"/>
      <c r="G147" s="149"/>
      <c r="I147" s="77">
        <v>0</v>
      </c>
      <c r="L147" s="14"/>
      <c r="M147" s="17"/>
    </row>
    <row r="148" spans="1:64" x14ac:dyDescent="0.25">
      <c r="A148" s="17"/>
      <c r="C148" s="148" t="s">
        <v>590</v>
      </c>
      <c r="D148" s="149"/>
      <c r="E148" s="149"/>
      <c r="F148" s="149"/>
      <c r="G148" s="149"/>
      <c r="I148" s="77">
        <v>217.1</v>
      </c>
      <c r="L148" s="14"/>
      <c r="M148" s="17"/>
    </row>
    <row r="149" spans="1:64" x14ac:dyDescent="0.25">
      <c r="A149" s="17"/>
      <c r="C149" s="148" t="s">
        <v>587</v>
      </c>
      <c r="D149" s="149"/>
      <c r="E149" s="149"/>
      <c r="F149" s="149"/>
      <c r="G149" s="149"/>
      <c r="I149" s="77">
        <v>0</v>
      </c>
      <c r="L149" s="14"/>
      <c r="M149" s="17"/>
    </row>
    <row r="150" spans="1:64" x14ac:dyDescent="0.25">
      <c r="A150" s="17"/>
      <c r="C150" s="148" t="s">
        <v>591</v>
      </c>
      <c r="D150" s="149"/>
      <c r="E150" s="149"/>
      <c r="F150" s="149"/>
      <c r="G150" s="149"/>
      <c r="I150" s="77">
        <v>876.84</v>
      </c>
      <c r="L150" s="14"/>
      <c r="M150" s="17"/>
    </row>
    <row r="151" spans="1:64" x14ac:dyDescent="0.25">
      <c r="A151" s="34" t="s">
        <v>121</v>
      </c>
      <c r="B151" s="41" t="s">
        <v>302</v>
      </c>
      <c r="C151" s="146" t="s">
        <v>592</v>
      </c>
      <c r="D151" s="147"/>
      <c r="E151" s="147"/>
      <c r="F151" s="147"/>
      <c r="G151" s="147"/>
      <c r="H151" s="41" t="s">
        <v>891</v>
      </c>
      <c r="I151" s="76">
        <v>21.76</v>
      </c>
      <c r="J151" s="60">
        <v>0</v>
      </c>
      <c r="K151" s="60">
        <f>I151*J151</f>
        <v>0</v>
      </c>
      <c r="L151" s="53" t="s">
        <v>906</v>
      </c>
      <c r="M151" s="17"/>
      <c r="Z151" s="28">
        <f>IF(AQ151="5",BJ151,0)</f>
        <v>0</v>
      </c>
      <c r="AB151" s="28">
        <f>IF(AQ151="1",BH151,0)</f>
        <v>0</v>
      </c>
      <c r="AC151" s="28">
        <f>IF(AQ151="1",BI151,0)</f>
        <v>0</v>
      </c>
      <c r="AD151" s="28">
        <f>IF(AQ151="7",BH151,0)</f>
        <v>0</v>
      </c>
      <c r="AE151" s="28">
        <f>IF(AQ151="7",BI151,0)</f>
        <v>0</v>
      </c>
      <c r="AF151" s="28">
        <f>IF(AQ151="2",BH151,0)</f>
        <v>0</v>
      </c>
      <c r="AG151" s="28">
        <f>IF(AQ151="2",BI151,0)</f>
        <v>0</v>
      </c>
      <c r="AH151" s="28">
        <f>IF(AQ151="0",BJ151,0)</f>
        <v>0</v>
      </c>
      <c r="AI151" s="56" t="s">
        <v>72</v>
      </c>
      <c r="AJ151" s="60">
        <f>IF(AN151=0,K151,0)</f>
        <v>0</v>
      </c>
      <c r="AK151" s="60">
        <f>IF(AN151=15,K151,0)</f>
        <v>0</v>
      </c>
      <c r="AL151" s="60">
        <f>IF(AN151=21,K151,0)</f>
        <v>0</v>
      </c>
      <c r="AN151" s="28">
        <v>21</v>
      </c>
      <c r="AO151" s="28">
        <f>J151*0.669657657657658</f>
        <v>0</v>
      </c>
      <c r="AP151" s="28">
        <f>J151*(1-0.669657657657658)</f>
        <v>0</v>
      </c>
      <c r="AQ151" s="57" t="s">
        <v>82</v>
      </c>
      <c r="AV151" s="28">
        <f>AW151+AX151</f>
        <v>0</v>
      </c>
      <c r="AW151" s="28">
        <f>I151*AO151</f>
        <v>0</v>
      </c>
      <c r="AX151" s="28">
        <f>I151*AP151</f>
        <v>0</v>
      </c>
      <c r="AY151" s="59" t="s">
        <v>927</v>
      </c>
      <c r="AZ151" s="59" t="s">
        <v>957</v>
      </c>
      <c r="BA151" s="56" t="s">
        <v>966</v>
      </c>
      <c r="BC151" s="28">
        <f>AW151+AX151</f>
        <v>0</v>
      </c>
      <c r="BD151" s="28">
        <f>J151/(100-BE151)*100</f>
        <v>0</v>
      </c>
      <c r="BE151" s="28">
        <v>0</v>
      </c>
      <c r="BF151" s="28">
        <f>151</f>
        <v>151</v>
      </c>
      <c r="BH151" s="60">
        <f>I151*AO151</f>
        <v>0</v>
      </c>
      <c r="BI151" s="60">
        <f>I151*AP151</f>
        <v>0</v>
      </c>
      <c r="BJ151" s="60">
        <f>I151*J151</f>
        <v>0</v>
      </c>
      <c r="BK151" s="60" t="s">
        <v>971</v>
      </c>
      <c r="BL151" s="28">
        <v>63</v>
      </c>
    </row>
    <row r="152" spans="1:64" x14ac:dyDescent="0.25">
      <c r="A152" s="17"/>
      <c r="C152" s="148" t="s">
        <v>593</v>
      </c>
      <c r="D152" s="149"/>
      <c r="E152" s="149"/>
      <c r="F152" s="149"/>
      <c r="G152" s="149"/>
      <c r="I152" s="77">
        <v>10.26</v>
      </c>
      <c r="L152" s="14"/>
      <c r="M152" s="17"/>
    </row>
    <row r="153" spans="1:64" x14ac:dyDescent="0.25">
      <c r="A153" s="17"/>
      <c r="C153" s="148" t="s">
        <v>594</v>
      </c>
      <c r="D153" s="149"/>
      <c r="E153" s="149"/>
      <c r="F153" s="149"/>
      <c r="G153" s="149"/>
      <c r="I153" s="77">
        <v>11.5</v>
      </c>
      <c r="L153" s="14"/>
      <c r="M153" s="17"/>
    </row>
    <row r="154" spans="1:64" x14ac:dyDescent="0.25">
      <c r="A154" s="34" t="s">
        <v>122</v>
      </c>
      <c r="B154" s="41" t="s">
        <v>303</v>
      </c>
      <c r="C154" s="146" t="s">
        <v>595</v>
      </c>
      <c r="D154" s="147"/>
      <c r="E154" s="147"/>
      <c r="F154" s="147"/>
      <c r="G154" s="147"/>
      <c r="H154" s="41" t="s">
        <v>891</v>
      </c>
      <c r="I154" s="76">
        <v>108.8</v>
      </c>
      <c r="J154" s="60">
        <v>0</v>
      </c>
      <c r="K154" s="60">
        <f>I154*J154</f>
        <v>0</v>
      </c>
      <c r="L154" s="53" t="s">
        <v>906</v>
      </c>
      <c r="M154" s="17"/>
      <c r="Z154" s="28">
        <f>IF(AQ154="5",BJ154,0)</f>
        <v>0</v>
      </c>
      <c r="AB154" s="28">
        <f>IF(AQ154="1",BH154,0)</f>
        <v>0</v>
      </c>
      <c r="AC154" s="28">
        <f>IF(AQ154="1",BI154,0)</f>
        <v>0</v>
      </c>
      <c r="AD154" s="28">
        <f>IF(AQ154="7",BH154,0)</f>
        <v>0</v>
      </c>
      <c r="AE154" s="28">
        <f>IF(AQ154="7",BI154,0)</f>
        <v>0</v>
      </c>
      <c r="AF154" s="28">
        <f>IF(AQ154="2",BH154,0)</f>
        <v>0</v>
      </c>
      <c r="AG154" s="28">
        <f>IF(AQ154="2",BI154,0)</f>
        <v>0</v>
      </c>
      <c r="AH154" s="28">
        <f>IF(AQ154="0",BJ154,0)</f>
        <v>0</v>
      </c>
      <c r="AI154" s="56" t="s">
        <v>72</v>
      </c>
      <c r="AJ154" s="60">
        <f>IF(AN154=0,K154,0)</f>
        <v>0</v>
      </c>
      <c r="AK154" s="60">
        <f>IF(AN154=15,K154,0)</f>
        <v>0</v>
      </c>
      <c r="AL154" s="60">
        <f>IF(AN154=21,K154,0)</f>
        <v>0</v>
      </c>
      <c r="AN154" s="28">
        <v>21</v>
      </c>
      <c r="AO154" s="28">
        <f>J154*0.878295994360845</f>
        <v>0</v>
      </c>
      <c r="AP154" s="28">
        <f>J154*(1-0.878295994360845)</f>
        <v>0</v>
      </c>
      <c r="AQ154" s="57" t="s">
        <v>82</v>
      </c>
      <c r="AV154" s="28">
        <f>AW154+AX154</f>
        <v>0</v>
      </c>
      <c r="AW154" s="28">
        <f>I154*AO154</f>
        <v>0</v>
      </c>
      <c r="AX154" s="28">
        <f>I154*AP154</f>
        <v>0</v>
      </c>
      <c r="AY154" s="59" t="s">
        <v>927</v>
      </c>
      <c r="AZ154" s="59" t="s">
        <v>957</v>
      </c>
      <c r="BA154" s="56" t="s">
        <v>966</v>
      </c>
      <c r="BC154" s="28">
        <f>AW154+AX154</f>
        <v>0</v>
      </c>
      <c r="BD154" s="28">
        <f>J154/(100-BE154)*100</f>
        <v>0</v>
      </c>
      <c r="BE154" s="28">
        <v>0</v>
      </c>
      <c r="BF154" s="28">
        <f>154</f>
        <v>154</v>
      </c>
      <c r="BH154" s="60">
        <f>I154*AO154</f>
        <v>0</v>
      </c>
      <c r="BI154" s="60">
        <f>I154*AP154</f>
        <v>0</v>
      </c>
      <c r="BJ154" s="60">
        <f>I154*J154</f>
        <v>0</v>
      </c>
      <c r="BK154" s="60" t="s">
        <v>971</v>
      </c>
      <c r="BL154" s="28">
        <v>63</v>
      </c>
    </row>
    <row r="155" spans="1:64" x14ac:dyDescent="0.25">
      <c r="A155" s="17"/>
      <c r="C155" s="148" t="s">
        <v>596</v>
      </c>
      <c r="D155" s="149"/>
      <c r="E155" s="149"/>
      <c r="F155" s="149"/>
      <c r="G155" s="149"/>
      <c r="I155" s="77">
        <v>0</v>
      </c>
      <c r="L155" s="14"/>
      <c r="M155" s="17"/>
    </row>
    <row r="156" spans="1:64" x14ac:dyDescent="0.25">
      <c r="A156" s="17"/>
      <c r="C156" s="148" t="s">
        <v>597</v>
      </c>
      <c r="D156" s="149"/>
      <c r="E156" s="149"/>
      <c r="F156" s="149"/>
      <c r="G156" s="149"/>
      <c r="I156" s="77">
        <v>51.3</v>
      </c>
      <c r="L156" s="14"/>
      <c r="M156" s="17"/>
    </row>
    <row r="157" spans="1:64" x14ac:dyDescent="0.25">
      <c r="A157" s="17"/>
      <c r="C157" s="148" t="s">
        <v>598</v>
      </c>
      <c r="D157" s="149"/>
      <c r="E157" s="149"/>
      <c r="F157" s="149"/>
      <c r="G157" s="149"/>
      <c r="I157" s="77">
        <v>57.5</v>
      </c>
      <c r="L157" s="14"/>
      <c r="M157" s="17"/>
    </row>
    <row r="158" spans="1:64" x14ac:dyDescent="0.25">
      <c r="A158" s="33"/>
      <c r="B158" s="40" t="s">
        <v>304</v>
      </c>
      <c r="C158" s="144" t="s">
        <v>599</v>
      </c>
      <c r="D158" s="145"/>
      <c r="E158" s="145"/>
      <c r="F158" s="145"/>
      <c r="G158" s="145"/>
      <c r="H158" s="46" t="s">
        <v>58</v>
      </c>
      <c r="I158" s="46" t="s">
        <v>58</v>
      </c>
      <c r="J158" s="46" t="s">
        <v>58</v>
      </c>
      <c r="K158" s="65">
        <f>SUM(K159:K165)</f>
        <v>0</v>
      </c>
      <c r="L158" s="52"/>
      <c r="M158" s="17"/>
      <c r="AI158" s="56" t="s">
        <v>72</v>
      </c>
      <c r="AS158" s="65">
        <f>SUM(AJ159:AJ165)</f>
        <v>0</v>
      </c>
      <c r="AT158" s="65">
        <f>SUM(AK159:AK165)</f>
        <v>0</v>
      </c>
      <c r="AU158" s="65">
        <f>SUM(AL159:AL165)</f>
        <v>0</v>
      </c>
    </row>
    <row r="159" spans="1:64" x14ac:dyDescent="0.25">
      <c r="A159" s="34" t="s">
        <v>123</v>
      </c>
      <c r="B159" s="41" t="s">
        <v>305</v>
      </c>
      <c r="C159" s="146" t="s">
        <v>600</v>
      </c>
      <c r="D159" s="147"/>
      <c r="E159" s="147"/>
      <c r="F159" s="147"/>
      <c r="G159" s="147"/>
      <c r="H159" s="41" t="s">
        <v>891</v>
      </c>
      <c r="I159" s="76">
        <v>167.9</v>
      </c>
      <c r="J159" s="60">
        <v>0</v>
      </c>
      <c r="K159" s="60">
        <f>I159*J159</f>
        <v>0</v>
      </c>
      <c r="L159" s="53" t="s">
        <v>906</v>
      </c>
      <c r="M159" s="17"/>
      <c r="Z159" s="28">
        <f>IF(AQ159="5",BJ159,0)</f>
        <v>0</v>
      </c>
      <c r="AB159" s="28">
        <f>IF(AQ159="1",BH159,0)</f>
        <v>0</v>
      </c>
      <c r="AC159" s="28">
        <f>IF(AQ159="1",BI159,0)</f>
        <v>0</v>
      </c>
      <c r="AD159" s="28">
        <f>IF(AQ159="7",BH159,0)</f>
        <v>0</v>
      </c>
      <c r="AE159" s="28">
        <f>IF(AQ159="7",BI159,0)</f>
        <v>0</v>
      </c>
      <c r="AF159" s="28">
        <f>IF(AQ159="2",BH159,0)</f>
        <v>0</v>
      </c>
      <c r="AG159" s="28">
        <f>IF(AQ159="2",BI159,0)</f>
        <v>0</v>
      </c>
      <c r="AH159" s="28">
        <f>IF(AQ159="0",BJ159,0)</f>
        <v>0</v>
      </c>
      <c r="AI159" s="56" t="s">
        <v>72</v>
      </c>
      <c r="AJ159" s="60">
        <f>IF(AN159=0,K159,0)</f>
        <v>0</v>
      </c>
      <c r="AK159" s="60">
        <f>IF(AN159=15,K159,0)</f>
        <v>0</v>
      </c>
      <c r="AL159" s="60">
        <f>IF(AN159=21,K159,0)</f>
        <v>0</v>
      </c>
      <c r="AN159" s="28">
        <v>21</v>
      </c>
      <c r="AO159" s="28">
        <f>J159*0.392</f>
        <v>0</v>
      </c>
      <c r="AP159" s="28">
        <f>J159*(1-0.392)</f>
        <v>0</v>
      </c>
      <c r="AQ159" s="57" t="s">
        <v>88</v>
      </c>
      <c r="AV159" s="28">
        <f>AW159+AX159</f>
        <v>0</v>
      </c>
      <c r="AW159" s="28">
        <f>I159*AO159</f>
        <v>0</v>
      </c>
      <c r="AX159" s="28">
        <f>I159*AP159</f>
        <v>0</v>
      </c>
      <c r="AY159" s="59" t="s">
        <v>928</v>
      </c>
      <c r="AZ159" s="59" t="s">
        <v>958</v>
      </c>
      <c r="BA159" s="56" t="s">
        <v>966</v>
      </c>
      <c r="BC159" s="28">
        <f>AW159+AX159</f>
        <v>0</v>
      </c>
      <c r="BD159" s="28">
        <f>J159/(100-BE159)*100</f>
        <v>0</v>
      </c>
      <c r="BE159" s="28">
        <v>0</v>
      </c>
      <c r="BF159" s="28">
        <f>159</f>
        <v>159</v>
      </c>
      <c r="BH159" s="60">
        <f>I159*AO159</f>
        <v>0</v>
      </c>
      <c r="BI159" s="60">
        <f>I159*AP159</f>
        <v>0</v>
      </c>
      <c r="BJ159" s="60">
        <f>I159*J159</f>
        <v>0</v>
      </c>
      <c r="BK159" s="60" t="s">
        <v>971</v>
      </c>
      <c r="BL159" s="28">
        <v>711</v>
      </c>
    </row>
    <row r="160" spans="1:64" x14ac:dyDescent="0.25">
      <c r="A160" s="17"/>
      <c r="B160" s="42" t="s">
        <v>265</v>
      </c>
      <c r="C160" s="150" t="s">
        <v>601</v>
      </c>
      <c r="D160" s="151"/>
      <c r="E160" s="151"/>
      <c r="F160" s="151"/>
      <c r="G160" s="151"/>
      <c r="H160" s="151"/>
      <c r="I160" s="151"/>
      <c r="J160" s="151"/>
      <c r="K160" s="151"/>
      <c r="L160" s="152"/>
      <c r="M160" s="17"/>
    </row>
    <row r="161" spans="1:64" x14ac:dyDescent="0.25">
      <c r="A161" s="17"/>
      <c r="C161" s="148" t="s">
        <v>602</v>
      </c>
      <c r="D161" s="149"/>
      <c r="E161" s="149"/>
      <c r="F161" s="149"/>
      <c r="G161" s="149"/>
      <c r="I161" s="77">
        <v>65.459999999999994</v>
      </c>
      <c r="L161" s="14"/>
      <c r="M161" s="17"/>
    </row>
    <row r="162" spans="1:64" x14ac:dyDescent="0.25">
      <c r="A162" s="17"/>
      <c r="C162" s="148" t="s">
        <v>603</v>
      </c>
      <c r="D162" s="149"/>
      <c r="E162" s="149"/>
      <c r="F162" s="149"/>
      <c r="G162" s="149"/>
      <c r="I162" s="77">
        <v>80.680000000000007</v>
      </c>
      <c r="L162" s="14"/>
      <c r="M162" s="17"/>
    </row>
    <row r="163" spans="1:64" x14ac:dyDescent="0.25">
      <c r="A163" s="17"/>
      <c r="C163" s="148" t="s">
        <v>604</v>
      </c>
      <c r="D163" s="149"/>
      <c r="E163" s="149"/>
      <c r="F163" s="149"/>
      <c r="G163" s="149"/>
      <c r="I163" s="77">
        <v>10.26</v>
      </c>
      <c r="L163" s="14"/>
      <c r="M163" s="17"/>
    </row>
    <row r="164" spans="1:64" x14ac:dyDescent="0.25">
      <c r="A164" s="17"/>
      <c r="C164" s="148" t="s">
        <v>605</v>
      </c>
      <c r="D164" s="149"/>
      <c r="E164" s="149"/>
      <c r="F164" s="149"/>
      <c r="G164" s="149"/>
      <c r="I164" s="77">
        <v>11.5</v>
      </c>
      <c r="L164" s="14"/>
      <c r="M164" s="17"/>
    </row>
    <row r="165" spans="1:64" x14ac:dyDescent="0.25">
      <c r="A165" s="34" t="s">
        <v>124</v>
      </c>
      <c r="B165" s="41" t="s">
        <v>306</v>
      </c>
      <c r="C165" s="146" t="s">
        <v>606</v>
      </c>
      <c r="D165" s="147"/>
      <c r="E165" s="147"/>
      <c r="F165" s="147"/>
      <c r="G165" s="147"/>
      <c r="H165" s="41" t="s">
        <v>891</v>
      </c>
      <c r="I165" s="76">
        <v>167.9</v>
      </c>
      <c r="J165" s="60">
        <v>0</v>
      </c>
      <c r="K165" s="60">
        <f>I165*J165</f>
        <v>0</v>
      </c>
      <c r="L165" s="53" t="s">
        <v>906</v>
      </c>
      <c r="M165" s="17"/>
      <c r="Z165" s="28">
        <f>IF(AQ165="5",BJ165,0)</f>
        <v>0</v>
      </c>
      <c r="AB165" s="28">
        <f>IF(AQ165="1",BH165,0)</f>
        <v>0</v>
      </c>
      <c r="AC165" s="28">
        <f>IF(AQ165="1",BI165,0)</f>
        <v>0</v>
      </c>
      <c r="AD165" s="28">
        <f>IF(AQ165="7",BH165,0)</f>
        <v>0</v>
      </c>
      <c r="AE165" s="28">
        <f>IF(AQ165="7",BI165,0)</f>
        <v>0</v>
      </c>
      <c r="AF165" s="28">
        <f>IF(AQ165="2",BH165,0)</f>
        <v>0</v>
      </c>
      <c r="AG165" s="28">
        <f>IF(AQ165="2",BI165,0)</f>
        <v>0</v>
      </c>
      <c r="AH165" s="28">
        <f>IF(AQ165="0",BJ165,0)</f>
        <v>0</v>
      </c>
      <c r="AI165" s="56" t="s">
        <v>72</v>
      </c>
      <c r="AJ165" s="60">
        <f>IF(AN165=0,K165,0)</f>
        <v>0</v>
      </c>
      <c r="AK165" s="60">
        <f>IF(AN165=15,K165,0)</f>
        <v>0</v>
      </c>
      <c r="AL165" s="60">
        <f>IF(AN165=21,K165,0)</f>
        <v>0</v>
      </c>
      <c r="AN165" s="28">
        <v>21</v>
      </c>
      <c r="AO165" s="28">
        <f>J165*0.631139240506329</f>
        <v>0</v>
      </c>
      <c r="AP165" s="28">
        <f>J165*(1-0.631139240506329)</f>
        <v>0</v>
      </c>
      <c r="AQ165" s="57" t="s">
        <v>88</v>
      </c>
      <c r="AV165" s="28">
        <f>AW165+AX165</f>
        <v>0</v>
      </c>
      <c r="AW165" s="28">
        <f>I165*AO165</f>
        <v>0</v>
      </c>
      <c r="AX165" s="28">
        <f>I165*AP165</f>
        <v>0</v>
      </c>
      <c r="AY165" s="59" t="s">
        <v>928</v>
      </c>
      <c r="AZ165" s="59" t="s">
        <v>958</v>
      </c>
      <c r="BA165" s="56" t="s">
        <v>966</v>
      </c>
      <c r="BC165" s="28">
        <f>AW165+AX165</f>
        <v>0</v>
      </c>
      <c r="BD165" s="28">
        <f>J165/(100-BE165)*100</f>
        <v>0</v>
      </c>
      <c r="BE165" s="28">
        <v>0</v>
      </c>
      <c r="BF165" s="28">
        <f>165</f>
        <v>165</v>
      </c>
      <c r="BH165" s="60">
        <f>I165*AO165</f>
        <v>0</v>
      </c>
      <c r="BI165" s="60">
        <f>I165*AP165</f>
        <v>0</v>
      </c>
      <c r="BJ165" s="60">
        <f>I165*J165</f>
        <v>0</v>
      </c>
      <c r="BK165" s="60" t="s">
        <v>971</v>
      </c>
      <c r="BL165" s="28">
        <v>711</v>
      </c>
    </row>
    <row r="166" spans="1:64" x14ac:dyDescent="0.25">
      <c r="A166" s="17"/>
      <c r="B166" s="42" t="s">
        <v>265</v>
      </c>
      <c r="C166" s="150" t="s">
        <v>607</v>
      </c>
      <c r="D166" s="151"/>
      <c r="E166" s="151"/>
      <c r="F166" s="151"/>
      <c r="G166" s="151"/>
      <c r="H166" s="151"/>
      <c r="I166" s="151"/>
      <c r="J166" s="151"/>
      <c r="K166" s="151"/>
      <c r="L166" s="152"/>
      <c r="M166" s="17"/>
    </row>
    <row r="167" spans="1:64" x14ac:dyDescent="0.25">
      <c r="A167" s="17"/>
      <c r="C167" s="148" t="s">
        <v>602</v>
      </c>
      <c r="D167" s="149"/>
      <c r="E167" s="149"/>
      <c r="F167" s="149"/>
      <c r="G167" s="149"/>
      <c r="I167" s="77">
        <v>65.459999999999994</v>
      </c>
      <c r="L167" s="14"/>
      <c r="M167" s="17"/>
    </row>
    <row r="168" spans="1:64" x14ac:dyDescent="0.25">
      <c r="A168" s="17"/>
      <c r="C168" s="148" t="s">
        <v>603</v>
      </c>
      <c r="D168" s="149"/>
      <c r="E168" s="149"/>
      <c r="F168" s="149"/>
      <c r="G168" s="149"/>
      <c r="I168" s="77">
        <v>80.680000000000007</v>
      </c>
      <c r="L168" s="14"/>
      <c r="M168" s="17"/>
    </row>
    <row r="169" spans="1:64" x14ac:dyDescent="0.25">
      <c r="A169" s="17"/>
      <c r="C169" s="148" t="s">
        <v>604</v>
      </c>
      <c r="D169" s="149"/>
      <c r="E169" s="149"/>
      <c r="F169" s="149"/>
      <c r="G169" s="149"/>
      <c r="I169" s="77">
        <v>10.26</v>
      </c>
      <c r="L169" s="14"/>
      <c r="M169" s="17"/>
    </row>
    <row r="170" spans="1:64" x14ac:dyDescent="0.25">
      <c r="A170" s="17"/>
      <c r="C170" s="148" t="s">
        <v>605</v>
      </c>
      <c r="D170" s="149"/>
      <c r="E170" s="149"/>
      <c r="F170" s="149"/>
      <c r="G170" s="149"/>
      <c r="I170" s="77">
        <v>11.5</v>
      </c>
      <c r="L170" s="14"/>
      <c r="M170" s="17"/>
    </row>
    <row r="171" spans="1:64" x14ac:dyDescent="0.25">
      <c r="A171" s="33"/>
      <c r="B171" s="40" t="s">
        <v>307</v>
      </c>
      <c r="C171" s="144" t="s">
        <v>608</v>
      </c>
      <c r="D171" s="145"/>
      <c r="E171" s="145"/>
      <c r="F171" s="145"/>
      <c r="G171" s="145"/>
      <c r="H171" s="46" t="s">
        <v>58</v>
      </c>
      <c r="I171" s="46" t="s">
        <v>58</v>
      </c>
      <c r="J171" s="46" t="s">
        <v>58</v>
      </c>
      <c r="K171" s="65">
        <f>SUM(K172:K185)</f>
        <v>0</v>
      </c>
      <c r="L171" s="52"/>
      <c r="M171" s="17"/>
      <c r="AI171" s="56" t="s">
        <v>72</v>
      </c>
      <c r="AS171" s="65">
        <f>SUM(AJ172:AJ185)</f>
        <v>0</v>
      </c>
      <c r="AT171" s="65">
        <f>SUM(AK172:AK185)</f>
        <v>0</v>
      </c>
      <c r="AU171" s="65">
        <f>SUM(AL172:AL185)</f>
        <v>0</v>
      </c>
    </row>
    <row r="172" spans="1:64" x14ac:dyDescent="0.25">
      <c r="A172" s="34" t="s">
        <v>125</v>
      </c>
      <c r="B172" s="41" t="s">
        <v>308</v>
      </c>
      <c r="C172" s="146" t="s">
        <v>609</v>
      </c>
      <c r="D172" s="147"/>
      <c r="E172" s="147"/>
      <c r="F172" s="147"/>
      <c r="G172" s="147"/>
      <c r="H172" s="41" t="s">
        <v>891</v>
      </c>
      <c r="I172" s="76">
        <v>183.62</v>
      </c>
      <c r="J172" s="60">
        <v>0</v>
      </c>
      <c r="K172" s="60">
        <f>I172*J172</f>
        <v>0</v>
      </c>
      <c r="L172" s="53" t="s">
        <v>906</v>
      </c>
      <c r="M172" s="17"/>
      <c r="Z172" s="28">
        <f>IF(AQ172="5",BJ172,0)</f>
        <v>0</v>
      </c>
      <c r="AB172" s="28">
        <f>IF(AQ172="1",BH172,0)</f>
        <v>0</v>
      </c>
      <c r="AC172" s="28">
        <f>IF(AQ172="1",BI172,0)</f>
        <v>0</v>
      </c>
      <c r="AD172" s="28">
        <f>IF(AQ172="7",BH172,0)</f>
        <v>0</v>
      </c>
      <c r="AE172" s="28">
        <f>IF(AQ172="7",BI172,0)</f>
        <v>0</v>
      </c>
      <c r="AF172" s="28">
        <f>IF(AQ172="2",BH172,0)</f>
        <v>0</v>
      </c>
      <c r="AG172" s="28">
        <f>IF(AQ172="2",BI172,0)</f>
        <v>0</v>
      </c>
      <c r="AH172" s="28">
        <f>IF(AQ172="0",BJ172,0)</f>
        <v>0</v>
      </c>
      <c r="AI172" s="56" t="s">
        <v>72</v>
      </c>
      <c r="AJ172" s="60">
        <f>IF(AN172=0,K172,0)</f>
        <v>0</v>
      </c>
      <c r="AK172" s="60">
        <f>IF(AN172=15,K172,0)</f>
        <v>0</v>
      </c>
      <c r="AL172" s="60">
        <f>IF(AN172=21,K172,0)</f>
        <v>0</v>
      </c>
      <c r="AN172" s="28">
        <v>21</v>
      </c>
      <c r="AO172" s="28">
        <f>J172*0</f>
        <v>0</v>
      </c>
      <c r="AP172" s="28">
        <f>J172*(1-0)</f>
        <v>0</v>
      </c>
      <c r="AQ172" s="57" t="s">
        <v>88</v>
      </c>
      <c r="AV172" s="28">
        <f>AW172+AX172</f>
        <v>0</v>
      </c>
      <c r="AW172" s="28">
        <f>I172*AO172</f>
        <v>0</v>
      </c>
      <c r="AX172" s="28">
        <f>I172*AP172</f>
        <v>0</v>
      </c>
      <c r="AY172" s="59" t="s">
        <v>929</v>
      </c>
      <c r="AZ172" s="59" t="s">
        <v>958</v>
      </c>
      <c r="BA172" s="56" t="s">
        <v>966</v>
      </c>
      <c r="BC172" s="28">
        <f>AW172+AX172</f>
        <v>0</v>
      </c>
      <c r="BD172" s="28">
        <f>J172/(100-BE172)*100</f>
        <v>0</v>
      </c>
      <c r="BE172" s="28">
        <v>0</v>
      </c>
      <c r="BF172" s="28">
        <f>172</f>
        <v>172</v>
      </c>
      <c r="BH172" s="60">
        <f>I172*AO172</f>
        <v>0</v>
      </c>
      <c r="BI172" s="60">
        <f>I172*AP172</f>
        <v>0</v>
      </c>
      <c r="BJ172" s="60">
        <f>I172*J172</f>
        <v>0</v>
      </c>
      <c r="BK172" s="60" t="s">
        <v>971</v>
      </c>
      <c r="BL172" s="28">
        <v>713</v>
      </c>
    </row>
    <row r="173" spans="1:64" x14ac:dyDescent="0.25">
      <c r="A173" s="17"/>
      <c r="C173" s="148" t="s">
        <v>610</v>
      </c>
      <c r="D173" s="149"/>
      <c r="E173" s="149"/>
      <c r="F173" s="149"/>
      <c r="G173" s="149"/>
      <c r="I173" s="77">
        <v>183.62</v>
      </c>
      <c r="L173" s="14"/>
      <c r="M173" s="17"/>
    </row>
    <row r="174" spans="1:64" x14ac:dyDescent="0.25">
      <c r="A174" s="34" t="s">
        <v>126</v>
      </c>
      <c r="B174" s="41" t="s">
        <v>309</v>
      </c>
      <c r="C174" s="146" t="s">
        <v>611</v>
      </c>
      <c r="D174" s="147"/>
      <c r="E174" s="147"/>
      <c r="F174" s="147"/>
      <c r="G174" s="147"/>
      <c r="H174" s="41" t="s">
        <v>891</v>
      </c>
      <c r="I174" s="76">
        <v>122.33</v>
      </c>
      <c r="J174" s="60">
        <v>0</v>
      </c>
      <c r="K174" s="60">
        <f>I174*J174</f>
        <v>0</v>
      </c>
      <c r="L174" s="53" t="s">
        <v>906</v>
      </c>
      <c r="M174" s="17"/>
      <c r="Z174" s="28">
        <f>IF(AQ174="5",BJ174,0)</f>
        <v>0</v>
      </c>
      <c r="AB174" s="28">
        <f>IF(AQ174="1",BH174,0)</f>
        <v>0</v>
      </c>
      <c r="AC174" s="28">
        <f>IF(AQ174="1",BI174,0)</f>
        <v>0</v>
      </c>
      <c r="AD174" s="28">
        <f>IF(AQ174="7",BH174,0)</f>
        <v>0</v>
      </c>
      <c r="AE174" s="28">
        <f>IF(AQ174="7",BI174,0)</f>
        <v>0</v>
      </c>
      <c r="AF174" s="28">
        <f>IF(AQ174="2",BH174,0)</f>
        <v>0</v>
      </c>
      <c r="AG174" s="28">
        <f>IF(AQ174="2",BI174,0)</f>
        <v>0</v>
      </c>
      <c r="AH174" s="28">
        <f>IF(AQ174="0",BJ174,0)</f>
        <v>0</v>
      </c>
      <c r="AI174" s="56" t="s">
        <v>72</v>
      </c>
      <c r="AJ174" s="60">
        <f>IF(AN174=0,K174,0)</f>
        <v>0</v>
      </c>
      <c r="AK174" s="60">
        <f>IF(AN174=15,K174,0)</f>
        <v>0</v>
      </c>
      <c r="AL174" s="60">
        <f>IF(AN174=21,K174,0)</f>
        <v>0</v>
      </c>
      <c r="AN174" s="28">
        <v>21</v>
      </c>
      <c r="AO174" s="28">
        <f>J174*0.835982654957005</f>
        <v>0</v>
      </c>
      <c r="AP174" s="28">
        <f>J174*(1-0.835982654957005)</f>
        <v>0</v>
      </c>
      <c r="AQ174" s="57" t="s">
        <v>88</v>
      </c>
      <c r="AV174" s="28">
        <f>AW174+AX174</f>
        <v>0</v>
      </c>
      <c r="AW174" s="28">
        <f>I174*AO174</f>
        <v>0</v>
      </c>
      <c r="AX174" s="28">
        <f>I174*AP174</f>
        <v>0</v>
      </c>
      <c r="AY174" s="59" t="s">
        <v>929</v>
      </c>
      <c r="AZ174" s="59" t="s">
        <v>958</v>
      </c>
      <c r="BA174" s="56" t="s">
        <v>966</v>
      </c>
      <c r="BC174" s="28">
        <f>AW174+AX174</f>
        <v>0</v>
      </c>
      <c r="BD174" s="28">
        <f>J174/(100-BE174)*100</f>
        <v>0</v>
      </c>
      <c r="BE174" s="28">
        <v>0</v>
      </c>
      <c r="BF174" s="28">
        <f>174</f>
        <v>174</v>
      </c>
      <c r="BH174" s="60">
        <f>I174*AO174</f>
        <v>0</v>
      </c>
      <c r="BI174" s="60">
        <f>I174*AP174</f>
        <v>0</v>
      </c>
      <c r="BJ174" s="60">
        <f>I174*J174</f>
        <v>0</v>
      </c>
      <c r="BK174" s="60" t="s">
        <v>971</v>
      </c>
      <c r="BL174" s="28">
        <v>713</v>
      </c>
    </row>
    <row r="175" spans="1:64" x14ac:dyDescent="0.25">
      <c r="A175" s="17"/>
      <c r="B175" s="42" t="s">
        <v>265</v>
      </c>
      <c r="C175" s="150" t="s">
        <v>612</v>
      </c>
      <c r="D175" s="151"/>
      <c r="E175" s="151"/>
      <c r="F175" s="151"/>
      <c r="G175" s="151"/>
      <c r="H175" s="151"/>
      <c r="I175" s="151"/>
      <c r="J175" s="151"/>
      <c r="K175" s="151"/>
      <c r="L175" s="152"/>
      <c r="M175" s="17"/>
    </row>
    <row r="176" spans="1:64" x14ac:dyDescent="0.25">
      <c r="A176" s="17"/>
      <c r="C176" s="148" t="s">
        <v>613</v>
      </c>
      <c r="D176" s="149"/>
      <c r="E176" s="149"/>
      <c r="F176" s="149"/>
      <c r="G176" s="149"/>
      <c r="I176" s="77">
        <v>122.33</v>
      </c>
      <c r="L176" s="14"/>
      <c r="M176" s="17"/>
    </row>
    <row r="177" spans="1:64" x14ac:dyDescent="0.25">
      <c r="A177" s="34" t="s">
        <v>127</v>
      </c>
      <c r="B177" s="41" t="s">
        <v>310</v>
      </c>
      <c r="C177" s="146" t="s">
        <v>614</v>
      </c>
      <c r="D177" s="147"/>
      <c r="E177" s="147"/>
      <c r="F177" s="147"/>
      <c r="G177" s="147"/>
      <c r="H177" s="41" t="s">
        <v>891</v>
      </c>
      <c r="I177" s="76">
        <v>146.13999999999999</v>
      </c>
      <c r="J177" s="60">
        <v>0</v>
      </c>
      <c r="K177" s="60">
        <f>I177*J177</f>
        <v>0</v>
      </c>
      <c r="L177" s="53" t="s">
        <v>906</v>
      </c>
      <c r="M177" s="17"/>
      <c r="Z177" s="28">
        <f>IF(AQ177="5",BJ177,0)</f>
        <v>0</v>
      </c>
      <c r="AB177" s="28">
        <f>IF(AQ177="1",BH177,0)</f>
        <v>0</v>
      </c>
      <c r="AC177" s="28">
        <f>IF(AQ177="1",BI177,0)</f>
        <v>0</v>
      </c>
      <c r="AD177" s="28">
        <f>IF(AQ177="7",BH177,0)</f>
        <v>0</v>
      </c>
      <c r="AE177" s="28">
        <f>IF(AQ177="7",BI177,0)</f>
        <v>0</v>
      </c>
      <c r="AF177" s="28">
        <f>IF(AQ177="2",BH177,0)</f>
        <v>0</v>
      </c>
      <c r="AG177" s="28">
        <f>IF(AQ177="2",BI177,0)</f>
        <v>0</v>
      </c>
      <c r="AH177" s="28">
        <f>IF(AQ177="0",BJ177,0)</f>
        <v>0</v>
      </c>
      <c r="AI177" s="56" t="s">
        <v>72</v>
      </c>
      <c r="AJ177" s="60">
        <f>IF(AN177=0,K177,0)</f>
        <v>0</v>
      </c>
      <c r="AK177" s="60">
        <f>IF(AN177=15,K177,0)</f>
        <v>0</v>
      </c>
      <c r="AL177" s="60">
        <f>IF(AN177=21,K177,0)</f>
        <v>0</v>
      </c>
      <c r="AN177" s="28">
        <v>21</v>
      </c>
      <c r="AO177" s="28">
        <f>J177*0.863128918050451</f>
        <v>0</v>
      </c>
      <c r="AP177" s="28">
        <f>J177*(1-0.863128918050451)</f>
        <v>0</v>
      </c>
      <c r="AQ177" s="57" t="s">
        <v>88</v>
      </c>
      <c r="AV177" s="28">
        <f>AW177+AX177</f>
        <v>0</v>
      </c>
      <c r="AW177" s="28">
        <f>I177*AO177</f>
        <v>0</v>
      </c>
      <c r="AX177" s="28">
        <f>I177*AP177</f>
        <v>0</v>
      </c>
      <c r="AY177" s="59" t="s">
        <v>929</v>
      </c>
      <c r="AZ177" s="59" t="s">
        <v>958</v>
      </c>
      <c r="BA177" s="56" t="s">
        <v>966</v>
      </c>
      <c r="BC177" s="28">
        <f>AW177+AX177</f>
        <v>0</v>
      </c>
      <c r="BD177" s="28">
        <f>J177/(100-BE177)*100</f>
        <v>0</v>
      </c>
      <c r="BE177" s="28">
        <v>0</v>
      </c>
      <c r="BF177" s="28">
        <f>177</f>
        <v>177</v>
      </c>
      <c r="BH177" s="60">
        <f>I177*AO177</f>
        <v>0</v>
      </c>
      <c r="BI177" s="60">
        <f>I177*AP177</f>
        <v>0</v>
      </c>
      <c r="BJ177" s="60">
        <f>I177*J177</f>
        <v>0</v>
      </c>
      <c r="BK177" s="60" t="s">
        <v>971</v>
      </c>
      <c r="BL177" s="28">
        <v>713</v>
      </c>
    </row>
    <row r="178" spans="1:64" x14ac:dyDescent="0.25">
      <c r="A178" s="17"/>
      <c r="B178" s="42" t="s">
        <v>265</v>
      </c>
      <c r="C178" s="150" t="s">
        <v>615</v>
      </c>
      <c r="D178" s="151"/>
      <c r="E178" s="151"/>
      <c r="F178" s="151"/>
      <c r="G178" s="151"/>
      <c r="H178" s="151"/>
      <c r="I178" s="151"/>
      <c r="J178" s="151"/>
      <c r="K178" s="151"/>
      <c r="L178" s="152"/>
      <c r="M178" s="17"/>
    </row>
    <row r="179" spans="1:64" x14ac:dyDescent="0.25">
      <c r="A179" s="17"/>
      <c r="C179" s="148" t="s">
        <v>602</v>
      </c>
      <c r="D179" s="149"/>
      <c r="E179" s="149"/>
      <c r="F179" s="149"/>
      <c r="G179" s="149"/>
      <c r="I179" s="77">
        <v>65.459999999999994</v>
      </c>
      <c r="L179" s="14"/>
      <c r="M179" s="17"/>
    </row>
    <row r="180" spans="1:64" x14ac:dyDescent="0.25">
      <c r="A180" s="17"/>
      <c r="C180" s="148" t="s">
        <v>603</v>
      </c>
      <c r="D180" s="149"/>
      <c r="E180" s="149"/>
      <c r="F180" s="149"/>
      <c r="G180" s="149"/>
      <c r="I180" s="77">
        <v>80.680000000000007</v>
      </c>
      <c r="L180" s="14"/>
      <c r="M180" s="17"/>
    </row>
    <row r="181" spans="1:64" x14ac:dyDescent="0.25">
      <c r="A181" s="34" t="s">
        <v>128</v>
      </c>
      <c r="B181" s="41" t="s">
        <v>311</v>
      </c>
      <c r="C181" s="146" t="s">
        <v>616</v>
      </c>
      <c r="D181" s="147"/>
      <c r="E181" s="147"/>
      <c r="F181" s="147"/>
      <c r="G181" s="147"/>
      <c r="H181" s="41" t="s">
        <v>891</v>
      </c>
      <c r="I181" s="76">
        <v>220.643</v>
      </c>
      <c r="J181" s="60">
        <v>0</v>
      </c>
      <c r="K181" s="60">
        <f>I181*J181</f>
        <v>0</v>
      </c>
      <c r="L181" s="53" t="s">
        <v>906</v>
      </c>
      <c r="M181" s="17"/>
      <c r="Z181" s="28">
        <f>IF(AQ181="5",BJ181,0)</f>
        <v>0</v>
      </c>
      <c r="AB181" s="28">
        <f>IF(AQ181="1",BH181,0)</f>
        <v>0</v>
      </c>
      <c r="AC181" s="28">
        <f>IF(AQ181="1",BI181,0)</f>
        <v>0</v>
      </c>
      <c r="AD181" s="28">
        <f>IF(AQ181="7",BH181,0)</f>
        <v>0</v>
      </c>
      <c r="AE181" s="28">
        <f>IF(AQ181="7",BI181,0)</f>
        <v>0</v>
      </c>
      <c r="AF181" s="28">
        <f>IF(AQ181="2",BH181,0)</f>
        <v>0</v>
      </c>
      <c r="AG181" s="28">
        <f>IF(AQ181="2",BI181,0)</f>
        <v>0</v>
      </c>
      <c r="AH181" s="28">
        <f>IF(AQ181="0",BJ181,0)</f>
        <v>0</v>
      </c>
      <c r="AI181" s="56" t="s">
        <v>72</v>
      </c>
      <c r="AJ181" s="60">
        <f>IF(AN181=0,K181,0)</f>
        <v>0</v>
      </c>
      <c r="AK181" s="60">
        <f>IF(AN181=15,K181,0)</f>
        <v>0</v>
      </c>
      <c r="AL181" s="60">
        <f>IF(AN181=21,K181,0)</f>
        <v>0</v>
      </c>
      <c r="AN181" s="28">
        <v>21</v>
      </c>
      <c r="AO181" s="28">
        <f>J181*0.239500880225727</f>
        <v>0</v>
      </c>
      <c r="AP181" s="28">
        <f>J181*(1-0.239500880225727)</f>
        <v>0</v>
      </c>
      <c r="AQ181" s="57" t="s">
        <v>88</v>
      </c>
      <c r="AV181" s="28">
        <f>AW181+AX181</f>
        <v>0</v>
      </c>
      <c r="AW181" s="28">
        <f>I181*AO181</f>
        <v>0</v>
      </c>
      <c r="AX181" s="28">
        <f>I181*AP181</f>
        <v>0</v>
      </c>
      <c r="AY181" s="59" t="s">
        <v>929</v>
      </c>
      <c r="AZ181" s="59" t="s">
        <v>958</v>
      </c>
      <c r="BA181" s="56" t="s">
        <v>966</v>
      </c>
      <c r="BC181" s="28">
        <f>AW181+AX181</f>
        <v>0</v>
      </c>
      <c r="BD181" s="28">
        <f>J181/(100-BE181)*100</f>
        <v>0</v>
      </c>
      <c r="BE181" s="28">
        <v>0</v>
      </c>
      <c r="BF181" s="28">
        <f>181</f>
        <v>181</v>
      </c>
      <c r="BH181" s="60">
        <f>I181*AO181</f>
        <v>0</v>
      </c>
      <c r="BI181" s="60">
        <f>I181*AP181</f>
        <v>0</v>
      </c>
      <c r="BJ181" s="60">
        <f>I181*J181</f>
        <v>0</v>
      </c>
      <c r="BK181" s="60" t="s">
        <v>971</v>
      </c>
      <c r="BL181" s="28">
        <v>713</v>
      </c>
    </row>
    <row r="182" spans="1:64" x14ac:dyDescent="0.25">
      <c r="A182" s="17"/>
      <c r="B182" s="42" t="s">
        <v>265</v>
      </c>
      <c r="C182" s="150" t="s">
        <v>617</v>
      </c>
      <c r="D182" s="151"/>
      <c r="E182" s="151"/>
      <c r="F182" s="151"/>
      <c r="G182" s="151"/>
      <c r="H182" s="151"/>
      <c r="I182" s="151"/>
      <c r="J182" s="151"/>
      <c r="K182" s="151"/>
      <c r="L182" s="152"/>
      <c r="M182" s="17"/>
    </row>
    <row r="183" spans="1:64" x14ac:dyDescent="0.25">
      <c r="A183" s="17"/>
      <c r="C183" s="148" t="s">
        <v>618</v>
      </c>
      <c r="D183" s="149"/>
      <c r="E183" s="149"/>
      <c r="F183" s="149"/>
      <c r="G183" s="149"/>
      <c r="I183" s="77">
        <v>114.24299999999999</v>
      </c>
      <c r="L183" s="14"/>
      <c r="M183" s="17"/>
    </row>
    <row r="184" spans="1:64" x14ac:dyDescent="0.25">
      <c r="A184" s="17"/>
      <c r="C184" s="148" t="s">
        <v>619</v>
      </c>
      <c r="D184" s="149"/>
      <c r="E184" s="149"/>
      <c r="F184" s="149"/>
      <c r="G184" s="149"/>
      <c r="I184" s="77">
        <v>106.4</v>
      </c>
      <c r="L184" s="14"/>
      <c r="M184" s="17"/>
    </row>
    <row r="185" spans="1:64" x14ac:dyDescent="0.25">
      <c r="A185" s="34" t="s">
        <v>129</v>
      </c>
      <c r="B185" s="41" t="s">
        <v>312</v>
      </c>
      <c r="C185" s="146" t="s">
        <v>614</v>
      </c>
      <c r="D185" s="147"/>
      <c r="E185" s="147"/>
      <c r="F185" s="147"/>
      <c r="G185" s="147"/>
      <c r="H185" s="41" t="s">
        <v>891</v>
      </c>
      <c r="I185" s="76">
        <v>21.76</v>
      </c>
      <c r="J185" s="60">
        <v>0</v>
      </c>
      <c r="K185" s="60">
        <f>I185*J185</f>
        <v>0</v>
      </c>
      <c r="L185" s="53" t="s">
        <v>906</v>
      </c>
      <c r="M185" s="17"/>
      <c r="Z185" s="28">
        <f>IF(AQ185="5",BJ185,0)</f>
        <v>0</v>
      </c>
      <c r="AB185" s="28">
        <f>IF(AQ185="1",BH185,0)</f>
        <v>0</v>
      </c>
      <c r="AC185" s="28">
        <f>IF(AQ185="1",BI185,0)</f>
        <v>0</v>
      </c>
      <c r="AD185" s="28">
        <f>IF(AQ185="7",BH185,0)</f>
        <v>0</v>
      </c>
      <c r="AE185" s="28">
        <f>IF(AQ185="7",BI185,0)</f>
        <v>0</v>
      </c>
      <c r="AF185" s="28">
        <f>IF(AQ185="2",BH185,0)</f>
        <v>0</v>
      </c>
      <c r="AG185" s="28">
        <f>IF(AQ185="2",BI185,0)</f>
        <v>0</v>
      </c>
      <c r="AH185" s="28">
        <f>IF(AQ185="0",BJ185,0)</f>
        <v>0</v>
      </c>
      <c r="AI185" s="56" t="s">
        <v>72</v>
      </c>
      <c r="AJ185" s="60">
        <f>IF(AN185=0,K185,0)</f>
        <v>0</v>
      </c>
      <c r="AK185" s="60">
        <f>IF(AN185=15,K185,0)</f>
        <v>0</v>
      </c>
      <c r="AL185" s="60">
        <f>IF(AN185=21,K185,0)</f>
        <v>0</v>
      </c>
      <c r="AN185" s="28">
        <v>21</v>
      </c>
      <c r="AO185" s="28">
        <f>J185*0.852187491277389</f>
        <v>0</v>
      </c>
      <c r="AP185" s="28">
        <f>J185*(1-0.852187491277389)</f>
        <v>0</v>
      </c>
      <c r="AQ185" s="57" t="s">
        <v>88</v>
      </c>
      <c r="AV185" s="28">
        <f>AW185+AX185</f>
        <v>0</v>
      </c>
      <c r="AW185" s="28">
        <f>I185*AO185</f>
        <v>0</v>
      </c>
      <c r="AX185" s="28">
        <f>I185*AP185</f>
        <v>0</v>
      </c>
      <c r="AY185" s="59" t="s">
        <v>929</v>
      </c>
      <c r="AZ185" s="59" t="s">
        <v>958</v>
      </c>
      <c r="BA185" s="56" t="s">
        <v>966</v>
      </c>
      <c r="BC185" s="28">
        <f>AW185+AX185</f>
        <v>0</v>
      </c>
      <c r="BD185" s="28">
        <f>J185/(100-BE185)*100</f>
        <v>0</v>
      </c>
      <c r="BE185" s="28">
        <v>0</v>
      </c>
      <c r="BF185" s="28">
        <f>185</f>
        <v>185</v>
      </c>
      <c r="BH185" s="60">
        <f>I185*AO185</f>
        <v>0</v>
      </c>
      <c r="BI185" s="60">
        <f>I185*AP185</f>
        <v>0</v>
      </c>
      <c r="BJ185" s="60">
        <f>I185*J185</f>
        <v>0</v>
      </c>
      <c r="BK185" s="60" t="s">
        <v>971</v>
      </c>
      <c r="BL185" s="28">
        <v>713</v>
      </c>
    </row>
    <row r="186" spans="1:64" x14ac:dyDescent="0.25">
      <c r="A186" s="17"/>
      <c r="B186" s="42" t="s">
        <v>265</v>
      </c>
      <c r="C186" s="150" t="s">
        <v>620</v>
      </c>
      <c r="D186" s="151"/>
      <c r="E186" s="151"/>
      <c r="F186" s="151"/>
      <c r="G186" s="151"/>
      <c r="H186" s="151"/>
      <c r="I186" s="151"/>
      <c r="J186" s="151"/>
      <c r="K186" s="151"/>
      <c r="L186" s="152"/>
      <c r="M186" s="17"/>
    </row>
    <row r="187" spans="1:64" x14ac:dyDescent="0.25">
      <c r="A187" s="17"/>
      <c r="C187" s="148" t="s">
        <v>621</v>
      </c>
      <c r="D187" s="149"/>
      <c r="E187" s="149"/>
      <c r="F187" s="149"/>
      <c r="G187" s="149"/>
      <c r="I187" s="77">
        <v>10.26</v>
      </c>
      <c r="L187" s="14"/>
      <c r="M187" s="17"/>
    </row>
    <row r="188" spans="1:64" x14ac:dyDescent="0.25">
      <c r="A188" s="17"/>
      <c r="C188" s="148" t="s">
        <v>622</v>
      </c>
      <c r="D188" s="149"/>
      <c r="E188" s="149"/>
      <c r="F188" s="149"/>
      <c r="G188" s="149"/>
      <c r="I188" s="77">
        <v>11.5</v>
      </c>
      <c r="L188" s="14"/>
      <c r="M188" s="17"/>
    </row>
    <row r="189" spans="1:64" x14ac:dyDescent="0.25">
      <c r="A189" s="33"/>
      <c r="B189" s="40" t="s">
        <v>313</v>
      </c>
      <c r="C189" s="144" t="s">
        <v>623</v>
      </c>
      <c r="D189" s="145"/>
      <c r="E189" s="145"/>
      <c r="F189" s="145"/>
      <c r="G189" s="145"/>
      <c r="H189" s="46" t="s">
        <v>58</v>
      </c>
      <c r="I189" s="46" t="s">
        <v>58</v>
      </c>
      <c r="J189" s="46" t="s">
        <v>58</v>
      </c>
      <c r="K189" s="65">
        <f>SUM(K190:K203)</f>
        <v>0</v>
      </c>
      <c r="L189" s="52"/>
      <c r="M189" s="17"/>
      <c r="AI189" s="56" t="s">
        <v>72</v>
      </c>
      <c r="AS189" s="65">
        <f>SUM(AJ190:AJ203)</f>
        <v>0</v>
      </c>
      <c r="AT189" s="65">
        <f>SUM(AK190:AK203)</f>
        <v>0</v>
      </c>
      <c r="AU189" s="65">
        <f>SUM(AL190:AL203)</f>
        <v>0</v>
      </c>
    </row>
    <row r="190" spans="1:64" x14ac:dyDescent="0.25">
      <c r="A190" s="34" t="s">
        <v>130</v>
      </c>
      <c r="B190" s="41" t="s">
        <v>314</v>
      </c>
      <c r="C190" s="146" t="s">
        <v>624</v>
      </c>
      <c r="D190" s="147"/>
      <c r="E190" s="147"/>
      <c r="F190" s="147"/>
      <c r="G190" s="147"/>
      <c r="H190" s="41" t="s">
        <v>894</v>
      </c>
      <c r="I190" s="76">
        <v>5</v>
      </c>
      <c r="J190" s="60">
        <v>0</v>
      </c>
      <c r="K190" s="60">
        <f>I190*J190</f>
        <v>0</v>
      </c>
      <c r="L190" s="53" t="s">
        <v>906</v>
      </c>
      <c r="M190" s="17"/>
      <c r="Z190" s="28">
        <f>IF(AQ190="5",BJ190,0)</f>
        <v>0</v>
      </c>
      <c r="AB190" s="28">
        <f>IF(AQ190="1",BH190,0)</f>
        <v>0</v>
      </c>
      <c r="AC190" s="28">
        <f>IF(AQ190="1",BI190,0)</f>
        <v>0</v>
      </c>
      <c r="AD190" s="28">
        <f>IF(AQ190="7",BH190,0)</f>
        <v>0</v>
      </c>
      <c r="AE190" s="28">
        <f>IF(AQ190="7",BI190,0)</f>
        <v>0</v>
      </c>
      <c r="AF190" s="28">
        <f>IF(AQ190="2",BH190,0)</f>
        <v>0</v>
      </c>
      <c r="AG190" s="28">
        <f>IF(AQ190="2",BI190,0)</f>
        <v>0</v>
      </c>
      <c r="AH190" s="28">
        <f>IF(AQ190="0",BJ190,0)</f>
        <v>0</v>
      </c>
      <c r="AI190" s="56" t="s">
        <v>72</v>
      </c>
      <c r="AJ190" s="60">
        <f>IF(AN190=0,K190,0)</f>
        <v>0</v>
      </c>
      <c r="AK190" s="60">
        <f>IF(AN190=15,K190,0)</f>
        <v>0</v>
      </c>
      <c r="AL190" s="60">
        <f>IF(AN190=21,K190,0)</f>
        <v>0</v>
      </c>
      <c r="AN190" s="28">
        <v>21</v>
      </c>
      <c r="AO190" s="28">
        <f>J190*0.935193075898802</f>
        <v>0</v>
      </c>
      <c r="AP190" s="28">
        <f>J190*(1-0.935193075898802)</f>
        <v>0</v>
      </c>
      <c r="AQ190" s="57" t="s">
        <v>88</v>
      </c>
      <c r="AV190" s="28">
        <f>AW190+AX190</f>
        <v>0</v>
      </c>
      <c r="AW190" s="28">
        <f>I190*AO190</f>
        <v>0</v>
      </c>
      <c r="AX190" s="28">
        <f>I190*AP190</f>
        <v>0</v>
      </c>
      <c r="AY190" s="59" t="s">
        <v>930</v>
      </c>
      <c r="AZ190" s="59" t="s">
        <v>959</v>
      </c>
      <c r="BA190" s="56" t="s">
        <v>966</v>
      </c>
      <c r="BC190" s="28">
        <f>AW190+AX190</f>
        <v>0</v>
      </c>
      <c r="BD190" s="28">
        <f>J190/(100-BE190)*100</f>
        <v>0</v>
      </c>
      <c r="BE190" s="28">
        <v>0</v>
      </c>
      <c r="BF190" s="28">
        <f>190</f>
        <v>190</v>
      </c>
      <c r="BH190" s="60">
        <f>I190*AO190</f>
        <v>0</v>
      </c>
      <c r="BI190" s="60">
        <f>I190*AP190</f>
        <v>0</v>
      </c>
      <c r="BJ190" s="60">
        <f>I190*J190</f>
        <v>0</v>
      </c>
      <c r="BK190" s="60" t="s">
        <v>971</v>
      </c>
      <c r="BL190" s="28">
        <v>721</v>
      </c>
    </row>
    <row r="191" spans="1:64" x14ac:dyDescent="0.25">
      <c r="A191" s="17"/>
      <c r="B191" s="42" t="s">
        <v>265</v>
      </c>
      <c r="C191" s="150" t="s">
        <v>625</v>
      </c>
      <c r="D191" s="151"/>
      <c r="E191" s="151"/>
      <c r="F191" s="151"/>
      <c r="G191" s="151"/>
      <c r="H191" s="151"/>
      <c r="I191" s="151"/>
      <c r="J191" s="151"/>
      <c r="K191" s="151"/>
      <c r="L191" s="152"/>
      <c r="M191" s="17"/>
    </row>
    <row r="192" spans="1:64" x14ac:dyDescent="0.25">
      <c r="A192" s="17"/>
      <c r="C192" s="148" t="s">
        <v>626</v>
      </c>
      <c r="D192" s="149"/>
      <c r="E192" s="149"/>
      <c r="F192" s="149"/>
      <c r="G192" s="149"/>
      <c r="I192" s="77">
        <v>4</v>
      </c>
      <c r="L192" s="14"/>
      <c r="M192" s="17"/>
    </row>
    <row r="193" spans="1:64" x14ac:dyDescent="0.25">
      <c r="A193" s="17"/>
      <c r="C193" s="148" t="s">
        <v>627</v>
      </c>
      <c r="D193" s="149"/>
      <c r="E193" s="149"/>
      <c r="F193" s="149"/>
      <c r="G193" s="149"/>
      <c r="I193" s="77">
        <v>1</v>
      </c>
      <c r="L193" s="14"/>
      <c r="M193" s="17"/>
    </row>
    <row r="194" spans="1:64" x14ac:dyDescent="0.25">
      <c r="A194" s="34" t="s">
        <v>131</v>
      </c>
      <c r="B194" s="41" t="s">
        <v>315</v>
      </c>
      <c r="C194" s="146" t="s">
        <v>628</v>
      </c>
      <c r="D194" s="147"/>
      <c r="E194" s="147"/>
      <c r="F194" s="147"/>
      <c r="G194" s="147"/>
      <c r="H194" s="41" t="s">
        <v>895</v>
      </c>
      <c r="I194" s="76">
        <v>22</v>
      </c>
      <c r="J194" s="60">
        <v>0</v>
      </c>
      <c r="K194" s="60">
        <f>I194*J194</f>
        <v>0</v>
      </c>
      <c r="L194" s="53" t="s">
        <v>906</v>
      </c>
      <c r="M194" s="17"/>
      <c r="Z194" s="28">
        <f>IF(AQ194="5",BJ194,0)</f>
        <v>0</v>
      </c>
      <c r="AB194" s="28">
        <f>IF(AQ194="1",BH194,0)</f>
        <v>0</v>
      </c>
      <c r="AC194" s="28">
        <f>IF(AQ194="1",BI194,0)</f>
        <v>0</v>
      </c>
      <c r="AD194" s="28">
        <f>IF(AQ194="7",BH194,0)</f>
        <v>0</v>
      </c>
      <c r="AE194" s="28">
        <f>IF(AQ194="7",BI194,0)</f>
        <v>0</v>
      </c>
      <c r="AF194" s="28">
        <f>IF(AQ194="2",BH194,0)</f>
        <v>0</v>
      </c>
      <c r="AG194" s="28">
        <f>IF(AQ194="2",BI194,0)</f>
        <v>0</v>
      </c>
      <c r="AH194" s="28">
        <f>IF(AQ194="0",BJ194,0)</f>
        <v>0</v>
      </c>
      <c r="AI194" s="56" t="s">
        <v>72</v>
      </c>
      <c r="AJ194" s="60">
        <f>IF(AN194=0,K194,0)</f>
        <v>0</v>
      </c>
      <c r="AK194" s="60">
        <f>IF(AN194=15,K194,0)</f>
        <v>0</v>
      </c>
      <c r="AL194" s="60">
        <f>IF(AN194=21,K194,0)</f>
        <v>0</v>
      </c>
      <c r="AN194" s="28">
        <v>21</v>
      </c>
      <c r="AO194" s="28">
        <f>J194*0.6147</f>
        <v>0</v>
      </c>
      <c r="AP194" s="28">
        <f>J194*(1-0.6147)</f>
        <v>0</v>
      </c>
      <c r="AQ194" s="57" t="s">
        <v>88</v>
      </c>
      <c r="AV194" s="28">
        <f>AW194+AX194</f>
        <v>0</v>
      </c>
      <c r="AW194" s="28">
        <f>I194*AO194</f>
        <v>0</v>
      </c>
      <c r="AX194" s="28">
        <f>I194*AP194</f>
        <v>0</v>
      </c>
      <c r="AY194" s="59" t="s">
        <v>930</v>
      </c>
      <c r="AZ194" s="59" t="s">
        <v>959</v>
      </c>
      <c r="BA194" s="56" t="s">
        <v>966</v>
      </c>
      <c r="BC194" s="28">
        <f>AW194+AX194</f>
        <v>0</v>
      </c>
      <c r="BD194" s="28">
        <f>J194/(100-BE194)*100</f>
        <v>0</v>
      </c>
      <c r="BE194" s="28">
        <v>0</v>
      </c>
      <c r="BF194" s="28">
        <f>194</f>
        <v>194</v>
      </c>
      <c r="BH194" s="60">
        <f>I194*AO194</f>
        <v>0</v>
      </c>
      <c r="BI194" s="60">
        <f>I194*AP194</f>
        <v>0</v>
      </c>
      <c r="BJ194" s="60">
        <f>I194*J194</f>
        <v>0</v>
      </c>
      <c r="BK194" s="60" t="s">
        <v>971</v>
      </c>
      <c r="BL194" s="28">
        <v>721</v>
      </c>
    </row>
    <row r="195" spans="1:64" x14ac:dyDescent="0.25">
      <c r="A195" s="17"/>
      <c r="C195" s="148" t="s">
        <v>629</v>
      </c>
      <c r="D195" s="149"/>
      <c r="E195" s="149"/>
      <c r="F195" s="149"/>
      <c r="G195" s="149"/>
      <c r="I195" s="77">
        <v>22</v>
      </c>
      <c r="L195" s="14"/>
      <c r="M195" s="17"/>
    </row>
    <row r="196" spans="1:64" x14ac:dyDescent="0.25">
      <c r="A196" s="34" t="s">
        <v>132</v>
      </c>
      <c r="B196" s="41" t="s">
        <v>316</v>
      </c>
      <c r="C196" s="146" t="s">
        <v>630</v>
      </c>
      <c r="D196" s="147"/>
      <c r="E196" s="147"/>
      <c r="F196" s="147"/>
      <c r="G196" s="147"/>
      <c r="H196" s="41" t="s">
        <v>895</v>
      </c>
      <c r="I196" s="76">
        <v>5.5</v>
      </c>
      <c r="J196" s="60">
        <v>0</v>
      </c>
      <c r="K196" s="60">
        <f>I196*J196</f>
        <v>0</v>
      </c>
      <c r="L196" s="53" t="s">
        <v>906</v>
      </c>
      <c r="M196" s="17"/>
      <c r="Z196" s="28">
        <f>IF(AQ196="5",BJ196,0)</f>
        <v>0</v>
      </c>
      <c r="AB196" s="28">
        <f>IF(AQ196="1",BH196,0)</f>
        <v>0</v>
      </c>
      <c r="AC196" s="28">
        <f>IF(AQ196="1",BI196,0)</f>
        <v>0</v>
      </c>
      <c r="AD196" s="28">
        <f>IF(AQ196="7",BH196,0)</f>
        <v>0</v>
      </c>
      <c r="AE196" s="28">
        <f>IF(AQ196="7",BI196,0)</f>
        <v>0</v>
      </c>
      <c r="AF196" s="28">
        <f>IF(AQ196="2",BH196,0)</f>
        <v>0</v>
      </c>
      <c r="AG196" s="28">
        <f>IF(AQ196="2",BI196,0)</f>
        <v>0</v>
      </c>
      <c r="AH196" s="28">
        <f>IF(AQ196="0",BJ196,0)</f>
        <v>0</v>
      </c>
      <c r="AI196" s="56" t="s">
        <v>72</v>
      </c>
      <c r="AJ196" s="60">
        <f>IF(AN196=0,K196,0)</f>
        <v>0</v>
      </c>
      <c r="AK196" s="60">
        <f>IF(AN196=15,K196,0)</f>
        <v>0</v>
      </c>
      <c r="AL196" s="60">
        <f>IF(AN196=21,K196,0)</f>
        <v>0</v>
      </c>
      <c r="AN196" s="28">
        <v>21</v>
      </c>
      <c r="AO196" s="28">
        <f>J196*0.681175567670566</f>
        <v>0</v>
      </c>
      <c r="AP196" s="28">
        <f>J196*(1-0.681175567670566)</f>
        <v>0</v>
      </c>
      <c r="AQ196" s="57" t="s">
        <v>88</v>
      </c>
      <c r="AV196" s="28">
        <f>AW196+AX196</f>
        <v>0</v>
      </c>
      <c r="AW196" s="28">
        <f>I196*AO196</f>
        <v>0</v>
      </c>
      <c r="AX196" s="28">
        <f>I196*AP196</f>
        <v>0</v>
      </c>
      <c r="AY196" s="59" t="s">
        <v>930</v>
      </c>
      <c r="AZ196" s="59" t="s">
        <v>959</v>
      </c>
      <c r="BA196" s="56" t="s">
        <v>966</v>
      </c>
      <c r="BC196" s="28">
        <f>AW196+AX196</f>
        <v>0</v>
      </c>
      <c r="BD196" s="28">
        <f>J196/(100-BE196)*100</f>
        <v>0</v>
      </c>
      <c r="BE196" s="28">
        <v>0</v>
      </c>
      <c r="BF196" s="28">
        <f>196</f>
        <v>196</v>
      </c>
      <c r="BH196" s="60">
        <f>I196*AO196</f>
        <v>0</v>
      </c>
      <c r="BI196" s="60">
        <f>I196*AP196</f>
        <v>0</v>
      </c>
      <c r="BJ196" s="60">
        <f>I196*J196</f>
        <v>0</v>
      </c>
      <c r="BK196" s="60" t="s">
        <v>971</v>
      </c>
      <c r="BL196" s="28">
        <v>721</v>
      </c>
    </row>
    <row r="197" spans="1:64" x14ac:dyDescent="0.25">
      <c r="A197" s="17"/>
      <c r="C197" s="148" t="s">
        <v>631</v>
      </c>
      <c r="D197" s="149"/>
      <c r="E197" s="149"/>
      <c r="F197" s="149"/>
      <c r="G197" s="149"/>
      <c r="I197" s="77">
        <v>5.5</v>
      </c>
      <c r="L197" s="14"/>
      <c r="M197" s="17"/>
    </row>
    <row r="198" spans="1:64" x14ac:dyDescent="0.25">
      <c r="A198" s="34" t="s">
        <v>133</v>
      </c>
      <c r="B198" s="41" t="s">
        <v>317</v>
      </c>
      <c r="C198" s="146" t="s">
        <v>632</v>
      </c>
      <c r="D198" s="147"/>
      <c r="E198" s="147"/>
      <c r="F198" s="147"/>
      <c r="G198" s="147"/>
      <c r="H198" s="41" t="s">
        <v>895</v>
      </c>
      <c r="I198" s="76">
        <v>12</v>
      </c>
      <c r="J198" s="60">
        <v>0</v>
      </c>
      <c r="K198" s="60">
        <f>I198*J198</f>
        <v>0</v>
      </c>
      <c r="L198" s="53" t="s">
        <v>906</v>
      </c>
      <c r="M198" s="17"/>
      <c r="Z198" s="28">
        <f>IF(AQ198="5",BJ198,0)</f>
        <v>0</v>
      </c>
      <c r="AB198" s="28">
        <f>IF(AQ198="1",BH198,0)</f>
        <v>0</v>
      </c>
      <c r="AC198" s="28">
        <f>IF(AQ198="1",BI198,0)</f>
        <v>0</v>
      </c>
      <c r="AD198" s="28">
        <f>IF(AQ198="7",BH198,0)</f>
        <v>0</v>
      </c>
      <c r="AE198" s="28">
        <f>IF(AQ198="7",BI198,0)</f>
        <v>0</v>
      </c>
      <c r="AF198" s="28">
        <f>IF(AQ198="2",BH198,0)</f>
        <v>0</v>
      </c>
      <c r="AG198" s="28">
        <f>IF(AQ198="2",BI198,0)</f>
        <v>0</v>
      </c>
      <c r="AH198" s="28">
        <f>IF(AQ198="0",BJ198,0)</f>
        <v>0</v>
      </c>
      <c r="AI198" s="56" t="s">
        <v>72</v>
      </c>
      <c r="AJ198" s="60">
        <f>IF(AN198=0,K198,0)</f>
        <v>0</v>
      </c>
      <c r="AK198" s="60">
        <f>IF(AN198=15,K198,0)</f>
        <v>0</v>
      </c>
      <c r="AL198" s="60">
        <f>IF(AN198=21,K198,0)</f>
        <v>0</v>
      </c>
      <c r="AN198" s="28">
        <v>21</v>
      </c>
      <c r="AO198" s="28">
        <f>J198*0.590057430007179</f>
        <v>0</v>
      </c>
      <c r="AP198" s="28">
        <f>J198*(1-0.590057430007179)</f>
        <v>0</v>
      </c>
      <c r="AQ198" s="57" t="s">
        <v>88</v>
      </c>
      <c r="AV198" s="28">
        <f>AW198+AX198</f>
        <v>0</v>
      </c>
      <c r="AW198" s="28">
        <f>I198*AO198</f>
        <v>0</v>
      </c>
      <c r="AX198" s="28">
        <f>I198*AP198</f>
        <v>0</v>
      </c>
      <c r="AY198" s="59" t="s">
        <v>930</v>
      </c>
      <c r="AZ198" s="59" t="s">
        <v>959</v>
      </c>
      <c r="BA198" s="56" t="s">
        <v>966</v>
      </c>
      <c r="BC198" s="28">
        <f>AW198+AX198</f>
        <v>0</v>
      </c>
      <c r="BD198" s="28">
        <f>J198/(100-BE198)*100</f>
        <v>0</v>
      </c>
      <c r="BE198" s="28">
        <v>0</v>
      </c>
      <c r="BF198" s="28">
        <f>198</f>
        <v>198</v>
      </c>
      <c r="BH198" s="60">
        <f>I198*AO198</f>
        <v>0</v>
      </c>
      <c r="BI198" s="60">
        <f>I198*AP198</f>
        <v>0</v>
      </c>
      <c r="BJ198" s="60">
        <f>I198*J198</f>
        <v>0</v>
      </c>
      <c r="BK198" s="60" t="s">
        <v>971</v>
      </c>
      <c r="BL198" s="28">
        <v>721</v>
      </c>
    </row>
    <row r="199" spans="1:64" x14ac:dyDescent="0.25">
      <c r="A199" s="17"/>
      <c r="C199" s="148" t="s">
        <v>633</v>
      </c>
      <c r="D199" s="149"/>
      <c r="E199" s="149"/>
      <c r="F199" s="149"/>
      <c r="G199" s="149"/>
      <c r="I199" s="77">
        <v>12</v>
      </c>
      <c r="L199" s="14"/>
      <c r="M199" s="17"/>
    </row>
    <row r="200" spans="1:64" x14ac:dyDescent="0.25">
      <c r="A200" s="34" t="s">
        <v>134</v>
      </c>
      <c r="B200" s="41" t="s">
        <v>318</v>
      </c>
      <c r="C200" s="146" t="s">
        <v>634</v>
      </c>
      <c r="D200" s="147"/>
      <c r="E200" s="147"/>
      <c r="F200" s="147"/>
      <c r="G200" s="147"/>
      <c r="H200" s="41" t="s">
        <v>895</v>
      </c>
      <c r="I200" s="76">
        <v>39.5</v>
      </c>
      <c r="J200" s="60">
        <v>0</v>
      </c>
      <c r="K200" s="60">
        <f>I200*J200</f>
        <v>0</v>
      </c>
      <c r="L200" s="53" t="s">
        <v>906</v>
      </c>
      <c r="M200" s="17"/>
      <c r="Z200" s="28">
        <f>IF(AQ200="5",BJ200,0)</f>
        <v>0</v>
      </c>
      <c r="AB200" s="28">
        <f>IF(AQ200="1",BH200,0)</f>
        <v>0</v>
      </c>
      <c r="AC200" s="28">
        <f>IF(AQ200="1",BI200,0)</f>
        <v>0</v>
      </c>
      <c r="AD200" s="28">
        <f>IF(AQ200="7",BH200,0)</f>
        <v>0</v>
      </c>
      <c r="AE200" s="28">
        <f>IF(AQ200="7",BI200,0)</f>
        <v>0</v>
      </c>
      <c r="AF200" s="28">
        <f>IF(AQ200="2",BH200,0)</f>
        <v>0</v>
      </c>
      <c r="AG200" s="28">
        <f>IF(AQ200="2",BI200,0)</f>
        <v>0</v>
      </c>
      <c r="AH200" s="28">
        <f>IF(AQ200="0",BJ200,0)</f>
        <v>0</v>
      </c>
      <c r="AI200" s="56" t="s">
        <v>72</v>
      </c>
      <c r="AJ200" s="60">
        <f>IF(AN200=0,K200,0)</f>
        <v>0</v>
      </c>
      <c r="AK200" s="60">
        <f>IF(AN200=15,K200,0)</f>
        <v>0</v>
      </c>
      <c r="AL200" s="60">
        <f>IF(AN200=21,K200,0)</f>
        <v>0</v>
      </c>
      <c r="AN200" s="28">
        <v>21</v>
      </c>
      <c r="AO200" s="28">
        <f>J200*0.0270947657239341</f>
        <v>0</v>
      </c>
      <c r="AP200" s="28">
        <f>J200*(1-0.0270947657239341)</f>
        <v>0</v>
      </c>
      <c r="AQ200" s="57" t="s">
        <v>88</v>
      </c>
      <c r="AV200" s="28">
        <f>AW200+AX200</f>
        <v>0</v>
      </c>
      <c r="AW200" s="28">
        <f>I200*AO200</f>
        <v>0</v>
      </c>
      <c r="AX200" s="28">
        <f>I200*AP200</f>
        <v>0</v>
      </c>
      <c r="AY200" s="59" t="s">
        <v>930</v>
      </c>
      <c r="AZ200" s="59" t="s">
        <v>959</v>
      </c>
      <c r="BA200" s="56" t="s">
        <v>966</v>
      </c>
      <c r="BC200" s="28">
        <f>AW200+AX200</f>
        <v>0</v>
      </c>
      <c r="BD200" s="28">
        <f>J200/(100-BE200)*100</f>
        <v>0</v>
      </c>
      <c r="BE200" s="28">
        <v>0</v>
      </c>
      <c r="BF200" s="28">
        <f>200</f>
        <v>200</v>
      </c>
      <c r="BH200" s="60">
        <f>I200*AO200</f>
        <v>0</v>
      </c>
      <c r="BI200" s="60">
        <f>I200*AP200</f>
        <v>0</v>
      </c>
      <c r="BJ200" s="60">
        <f>I200*J200</f>
        <v>0</v>
      </c>
      <c r="BK200" s="60" t="s">
        <v>971</v>
      </c>
      <c r="BL200" s="28">
        <v>721</v>
      </c>
    </row>
    <row r="201" spans="1:64" x14ac:dyDescent="0.25">
      <c r="A201" s="17"/>
      <c r="C201" s="148" t="s">
        <v>635</v>
      </c>
      <c r="D201" s="149"/>
      <c r="E201" s="149"/>
      <c r="F201" s="149"/>
      <c r="G201" s="149"/>
      <c r="I201" s="77">
        <v>39.5</v>
      </c>
      <c r="L201" s="14"/>
      <c r="M201" s="17"/>
    </row>
    <row r="202" spans="1:64" x14ac:dyDescent="0.25">
      <c r="A202" s="34" t="s">
        <v>135</v>
      </c>
      <c r="B202" s="41" t="s">
        <v>319</v>
      </c>
      <c r="C202" s="146" t="s">
        <v>636</v>
      </c>
      <c r="D202" s="147"/>
      <c r="E202" s="147"/>
      <c r="F202" s="147"/>
      <c r="G202" s="147"/>
      <c r="H202" s="41" t="s">
        <v>895</v>
      </c>
      <c r="I202" s="76">
        <v>0.5</v>
      </c>
      <c r="J202" s="60">
        <v>0</v>
      </c>
      <c r="K202" s="60">
        <f>I202*J202</f>
        <v>0</v>
      </c>
      <c r="L202" s="53" t="s">
        <v>906</v>
      </c>
      <c r="M202" s="17"/>
      <c r="Z202" s="28">
        <f>IF(AQ202="5",BJ202,0)</f>
        <v>0</v>
      </c>
      <c r="AB202" s="28">
        <f>IF(AQ202="1",BH202,0)</f>
        <v>0</v>
      </c>
      <c r="AC202" s="28">
        <f>IF(AQ202="1",BI202,0)</f>
        <v>0</v>
      </c>
      <c r="AD202" s="28">
        <f>IF(AQ202="7",BH202,0)</f>
        <v>0</v>
      </c>
      <c r="AE202" s="28">
        <f>IF(AQ202="7",BI202,0)</f>
        <v>0</v>
      </c>
      <c r="AF202" s="28">
        <f>IF(AQ202="2",BH202,0)</f>
        <v>0</v>
      </c>
      <c r="AG202" s="28">
        <f>IF(AQ202="2",BI202,0)</f>
        <v>0</v>
      </c>
      <c r="AH202" s="28">
        <f>IF(AQ202="0",BJ202,0)</f>
        <v>0</v>
      </c>
      <c r="AI202" s="56" t="s">
        <v>72</v>
      </c>
      <c r="AJ202" s="60">
        <f>IF(AN202=0,K202,0)</f>
        <v>0</v>
      </c>
      <c r="AK202" s="60">
        <f>IF(AN202=15,K202,0)</f>
        <v>0</v>
      </c>
      <c r="AL202" s="60">
        <f>IF(AN202=21,K202,0)</f>
        <v>0</v>
      </c>
      <c r="AN202" s="28">
        <v>21</v>
      </c>
      <c r="AO202" s="28">
        <f>J202*1</f>
        <v>0</v>
      </c>
      <c r="AP202" s="28">
        <f>J202*(1-1)</f>
        <v>0</v>
      </c>
      <c r="AQ202" s="57" t="s">
        <v>88</v>
      </c>
      <c r="AV202" s="28">
        <f>AW202+AX202</f>
        <v>0</v>
      </c>
      <c r="AW202" s="28">
        <f>I202*AO202</f>
        <v>0</v>
      </c>
      <c r="AX202" s="28">
        <f>I202*AP202</f>
        <v>0</v>
      </c>
      <c r="AY202" s="59" t="s">
        <v>930</v>
      </c>
      <c r="AZ202" s="59" t="s">
        <v>959</v>
      </c>
      <c r="BA202" s="56" t="s">
        <v>966</v>
      </c>
      <c r="BC202" s="28">
        <f>AW202+AX202</f>
        <v>0</v>
      </c>
      <c r="BD202" s="28">
        <f>J202/(100-BE202)*100</f>
        <v>0</v>
      </c>
      <c r="BE202" s="28">
        <v>0</v>
      </c>
      <c r="BF202" s="28">
        <f>202</f>
        <v>202</v>
      </c>
      <c r="BH202" s="60">
        <f>I202*AO202</f>
        <v>0</v>
      </c>
      <c r="BI202" s="60">
        <f>I202*AP202</f>
        <v>0</v>
      </c>
      <c r="BJ202" s="60">
        <f>I202*J202</f>
        <v>0</v>
      </c>
      <c r="BK202" s="60" t="s">
        <v>971</v>
      </c>
      <c r="BL202" s="28">
        <v>721</v>
      </c>
    </row>
    <row r="203" spans="1:64" x14ac:dyDescent="0.25">
      <c r="A203" s="34" t="s">
        <v>136</v>
      </c>
      <c r="B203" s="41" t="s">
        <v>320</v>
      </c>
      <c r="C203" s="146" t="s">
        <v>637</v>
      </c>
      <c r="D203" s="147"/>
      <c r="E203" s="147"/>
      <c r="F203" s="147"/>
      <c r="G203" s="147"/>
      <c r="H203" s="41" t="s">
        <v>893</v>
      </c>
      <c r="I203" s="76">
        <v>0.47</v>
      </c>
      <c r="J203" s="60">
        <v>0</v>
      </c>
      <c r="K203" s="60">
        <f>I203*J203</f>
        <v>0</v>
      </c>
      <c r="L203" s="53" t="s">
        <v>906</v>
      </c>
      <c r="M203" s="17"/>
      <c r="Z203" s="28">
        <f>IF(AQ203="5",BJ203,0)</f>
        <v>0</v>
      </c>
      <c r="AB203" s="28">
        <f>IF(AQ203="1",BH203,0)</f>
        <v>0</v>
      </c>
      <c r="AC203" s="28">
        <f>IF(AQ203="1",BI203,0)</f>
        <v>0</v>
      </c>
      <c r="AD203" s="28">
        <f>IF(AQ203="7",BH203,0)</f>
        <v>0</v>
      </c>
      <c r="AE203" s="28">
        <f>IF(AQ203="7",BI203,0)</f>
        <v>0</v>
      </c>
      <c r="AF203" s="28">
        <f>IF(AQ203="2",BH203,0)</f>
        <v>0</v>
      </c>
      <c r="AG203" s="28">
        <f>IF(AQ203="2",BI203,0)</f>
        <v>0</v>
      </c>
      <c r="AH203" s="28">
        <f>IF(AQ203="0",BJ203,0)</f>
        <v>0</v>
      </c>
      <c r="AI203" s="56" t="s">
        <v>72</v>
      </c>
      <c r="AJ203" s="60">
        <f>IF(AN203=0,K203,0)</f>
        <v>0</v>
      </c>
      <c r="AK203" s="60">
        <f>IF(AN203=15,K203,0)</f>
        <v>0</v>
      </c>
      <c r="AL203" s="60">
        <f>IF(AN203=21,K203,0)</f>
        <v>0</v>
      </c>
      <c r="AN203" s="28">
        <v>21</v>
      </c>
      <c r="AO203" s="28">
        <f>J203*0</f>
        <v>0</v>
      </c>
      <c r="AP203" s="28">
        <f>J203*(1-0)</f>
        <v>0</v>
      </c>
      <c r="AQ203" s="57" t="s">
        <v>86</v>
      </c>
      <c r="AV203" s="28">
        <f>AW203+AX203</f>
        <v>0</v>
      </c>
      <c r="AW203" s="28">
        <f>I203*AO203</f>
        <v>0</v>
      </c>
      <c r="AX203" s="28">
        <f>I203*AP203</f>
        <v>0</v>
      </c>
      <c r="AY203" s="59" t="s">
        <v>930</v>
      </c>
      <c r="AZ203" s="59" t="s">
        <v>959</v>
      </c>
      <c r="BA203" s="56" t="s">
        <v>966</v>
      </c>
      <c r="BC203" s="28">
        <f>AW203+AX203</f>
        <v>0</v>
      </c>
      <c r="BD203" s="28">
        <f>J203/(100-BE203)*100</f>
        <v>0</v>
      </c>
      <c r="BE203" s="28">
        <v>0</v>
      </c>
      <c r="BF203" s="28">
        <f>203</f>
        <v>203</v>
      </c>
      <c r="BH203" s="60">
        <f>I203*AO203</f>
        <v>0</v>
      </c>
      <c r="BI203" s="60">
        <f>I203*AP203</f>
        <v>0</v>
      </c>
      <c r="BJ203" s="60">
        <f>I203*J203</f>
        <v>0</v>
      </c>
      <c r="BK203" s="60" t="s">
        <v>971</v>
      </c>
      <c r="BL203" s="28">
        <v>721</v>
      </c>
    </row>
    <row r="204" spans="1:64" x14ac:dyDescent="0.25">
      <c r="A204" s="33"/>
      <c r="B204" s="40" t="s">
        <v>321</v>
      </c>
      <c r="C204" s="144" t="s">
        <v>638</v>
      </c>
      <c r="D204" s="145"/>
      <c r="E204" s="145"/>
      <c r="F204" s="145"/>
      <c r="G204" s="145"/>
      <c r="H204" s="46" t="s">
        <v>58</v>
      </c>
      <c r="I204" s="46" t="s">
        <v>58</v>
      </c>
      <c r="J204" s="46" t="s">
        <v>58</v>
      </c>
      <c r="K204" s="65">
        <f>SUM(K205:K243)</f>
        <v>0</v>
      </c>
      <c r="L204" s="52"/>
      <c r="M204" s="17"/>
      <c r="AI204" s="56" t="s">
        <v>72</v>
      </c>
      <c r="AS204" s="65">
        <f>SUM(AJ205:AJ243)</f>
        <v>0</v>
      </c>
      <c r="AT204" s="65">
        <f>SUM(AK205:AK243)</f>
        <v>0</v>
      </c>
      <c r="AU204" s="65">
        <f>SUM(AL205:AL243)</f>
        <v>0</v>
      </c>
    </row>
    <row r="205" spans="1:64" x14ac:dyDescent="0.25">
      <c r="A205" s="34" t="s">
        <v>137</v>
      </c>
      <c r="B205" s="41" t="s">
        <v>322</v>
      </c>
      <c r="C205" s="146" t="s">
        <v>639</v>
      </c>
      <c r="D205" s="147"/>
      <c r="E205" s="147"/>
      <c r="F205" s="147"/>
      <c r="G205" s="147"/>
      <c r="H205" s="41" t="s">
        <v>895</v>
      </c>
      <c r="I205" s="76">
        <v>30</v>
      </c>
      <c r="J205" s="60">
        <v>0</v>
      </c>
      <c r="K205" s="60">
        <f>I205*J205</f>
        <v>0</v>
      </c>
      <c r="L205" s="53" t="s">
        <v>906</v>
      </c>
      <c r="M205" s="17"/>
      <c r="Z205" s="28">
        <f>IF(AQ205="5",BJ205,0)</f>
        <v>0</v>
      </c>
      <c r="AB205" s="28">
        <f>IF(AQ205="1",BH205,0)</f>
        <v>0</v>
      </c>
      <c r="AC205" s="28">
        <f>IF(AQ205="1",BI205,0)</f>
        <v>0</v>
      </c>
      <c r="AD205" s="28">
        <f>IF(AQ205="7",BH205,0)</f>
        <v>0</v>
      </c>
      <c r="AE205" s="28">
        <f>IF(AQ205="7",BI205,0)</f>
        <v>0</v>
      </c>
      <c r="AF205" s="28">
        <f>IF(AQ205="2",BH205,0)</f>
        <v>0</v>
      </c>
      <c r="AG205" s="28">
        <f>IF(AQ205="2",BI205,0)</f>
        <v>0</v>
      </c>
      <c r="AH205" s="28">
        <f>IF(AQ205="0",BJ205,0)</f>
        <v>0</v>
      </c>
      <c r="AI205" s="56" t="s">
        <v>72</v>
      </c>
      <c r="AJ205" s="60">
        <f>IF(AN205=0,K205,0)</f>
        <v>0</v>
      </c>
      <c r="AK205" s="60">
        <f>IF(AN205=15,K205,0)</f>
        <v>0</v>
      </c>
      <c r="AL205" s="60">
        <f>IF(AN205=21,K205,0)</f>
        <v>0</v>
      </c>
      <c r="AN205" s="28">
        <v>21</v>
      </c>
      <c r="AO205" s="28">
        <f>J205*0.0546828053910207</f>
        <v>0</v>
      </c>
      <c r="AP205" s="28">
        <f>J205*(1-0.0546828053910207)</f>
        <v>0</v>
      </c>
      <c r="AQ205" s="57" t="s">
        <v>88</v>
      </c>
      <c r="AV205" s="28">
        <f>AW205+AX205</f>
        <v>0</v>
      </c>
      <c r="AW205" s="28">
        <f>I205*AO205</f>
        <v>0</v>
      </c>
      <c r="AX205" s="28">
        <f>I205*AP205</f>
        <v>0</v>
      </c>
      <c r="AY205" s="59" t="s">
        <v>931</v>
      </c>
      <c r="AZ205" s="59" t="s">
        <v>959</v>
      </c>
      <c r="BA205" s="56" t="s">
        <v>966</v>
      </c>
      <c r="BC205" s="28">
        <f>AW205+AX205</f>
        <v>0</v>
      </c>
      <c r="BD205" s="28">
        <f>J205/(100-BE205)*100</f>
        <v>0</v>
      </c>
      <c r="BE205" s="28">
        <v>0</v>
      </c>
      <c r="BF205" s="28">
        <f>205</f>
        <v>205</v>
      </c>
      <c r="BH205" s="60">
        <f>I205*AO205</f>
        <v>0</v>
      </c>
      <c r="BI205" s="60">
        <f>I205*AP205</f>
        <v>0</v>
      </c>
      <c r="BJ205" s="60">
        <f>I205*J205</f>
        <v>0</v>
      </c>
      <c r="BK205" s="60" t="s">
        <v>971</v>
      </c>
      <c r="BL205" s="28">
        <v>722</v>
      </c>
    </row>
    <row r="206" spans="1:64" x14ac:dyDescent="0.25">
      <c r="A206" s="17"/>
      <c r="C206" s="148" t="s">
        <v>640</v>
      </c>
      <c r="D206" s="149"/>
      <c r="E206" s="149"/>
      <c r="F206" s="149"/>
      <c r="G206" s="149"/>
      <c r="I206" s="77">
        <v>30</v>
      </c>
      <c r="L206" s="14"/>
      <c r="M206" s="17"/>
    </row>
    <row r="207" spans="1:64" x14ac:dyDescent="0.25">
      <c r="A207" s="35" t="s">
        <v>138</v>
      </c>
      <c r="B207" s="43" t="s">
        <v>323</v>
      </c>
      <c r="C207" s="159" t="s">
        <v>641</v>
      </c>
      <c r="D207" s="160"/>
      <c r="E207" s="160"/>
      <c r="F207" s="160"/>
      <c r="G207" s="160"/>
      <c r="H207" s="43" t="s">
        <v>895</v>
      </c>
      <c r="I207" s="78">
        <v>30.9</v>
      </c>
      <c r="J207" s="61">
        <v>0</v>
      </c>
      <c r="K207" s="61">
        <f>I207*J207</f>
        <v>0</v>
      </c>
      <c r="L207" s="54" t="s">
        <v>906</v>
      </c>
      <c r="M207" s="17"/>
      <c r="Z207" s="28">
        <f>IF(AQ207="5",BJ207,0)</f>
        <v>0</v>
      </c>
      <c r="AB207" s="28">
        <f>IF(AQ207="1",BH207,0)</f>
        <v>0</v>
      </c>
      <c r="AC207" s="28">
        <f>IF(AQ207="1",BI207,0)</f>
        <v>0</v>
      </c>
      <c r="AD207" s="28">
        <f>IF(AQ207="7",BH207,0)</f>
        <v>0</v>
      </c>
      <c r="AE207" s="28">
        <f>IF(AQ207="7",BI207,0)</f>
        <v>0</v>
      </c>
      <c r="AF207" s="28">
        <f>IF(AQ207="2",BH207,0)</f>
        <v>0</v>
      </c>
      <c r="AG207" s="28">
        <f>IF(AQ207="2",BI207,0)</f>
        <v>0</v>
      </c>
      <c r="AH207" s="28">
        <f>IF(AQ207="0",BJ207,0)</f>
        <v>0</v>
      </c>
      <c r="AI207" s="56" t="s">
        <v>72</v>
      </c>
      <c r="AJ207" s="61">
        <f>IF(AN207=0,K207,0)</f>
        <v>0</v>
      </c>
      <c r="AK207" s="61">
        <f>IF(AN207=15,K207,0)</f>
        <v>0</v>
      </c>
      <c r="AL207" s="61">
        <f>IF(AN207=21,K207,0)</f>
        <v>0</v>
      </c>
      <c r="AN207" s="28">
        <v>21</v>
      </c>
      <c r="AO207" s="28">
        <f>J207*1</f>
        <v>0</v>
      </c>
      <c r="AP207" s="28">
        <f>J207*(1-1)</f>
        <v>0</v>
      </c>
      <c r="AQ207" s="58" t="s">
        <v>88</v>
      </c>
      <c r="AV207" s="28">
        <f>AW207+AX207</f>
        <v>0</v>
      </c>
      <c r="AW207" s="28">
        <f>I207*AO207</f>
        <v>0</v>
      </c>
      <c r="AX207" s="28">
        <f>I207*AP207</f>
        <v>0</v>
      </c>
      <c r="AY207" s="59" t="s">
        <v>931</v>
      </c>
      <c r="AZ207" s="59" t="s">
        <v>959</v>
      </c>
      <c r="BA207" s="56" t="s">
        <v>966</v>
      </c>
      <c r="BC207" s="28">
        <f>AW207+AX207</f>
        <v>0</v>
      </c>
      <c r="BD207" s="28">
        <f>J207/(100-BE207)*100</f>
        <v>0</v>
      </c>
      <c r="BE207" s="28">
        <v>0</v>
      </c>
      <c r="BF207" s="28">
        <f>207</f>
        <v>207</v>
      </c>
      <c r="BH207" s="61">
        <f>I207*AO207</f>
        <v>0</v>
      </c>
      <c r="BI207" s="61">
        <f>I207*AP207</f>
        <v>0</v>
      </c>
      <c r="BJ207" s="61">
        <f>I207*J207</f>
        <v>0</v>
      </c>
      <c r="BK207" s="61" t="s">
        <v>972</v>
      </c>
      <c r="BL207" s="28">
        <v>722</v>
      </c>
    </row>
    <row r="208" spans="1:64" x14ac:dyDescent="0.25">
      <c r="A208" s="17"/>
      <c r="C208" s="148" t="s">
        <v>640</v>
      </c>
      <c r="D208" s="149"/>
      <c r="E208" s="149"/>
      <c r="F208" s="149"/>
      <c r="G208" s="149"/>
      <c r="I208" s="77">
        <v>30</v>
      </c>
      <c r="L208" s="14"/>
      <c r="M208" s="17"/>
    </row>
    <row r="209" spans="1:64" x14ac:dyDescent="0.25">
      <c r="A209" s="17"/>
      <c r="C209" s="148" t="s">
        <v>642</v>
      </c>
      <c r="D209" s="149"/>
      <c r="E209" s="149"/>
      <c r="F209" s="149"/>
      <c r="G209" s="149"/>
      <c r="I209" s="77">
        <v>0.9</v>
      </c>
      <c r="L209" s="14"/>
      <c r="M209" s="17"/>
    </row>
    <row r="210" spans="1:64" x14ac:dyDescent="0.25">
      <c r="A210" s="34" t="s">
        <v>139</v>
      </c>
      <c r="B210" s="41" t="s">
        <v>324</v>
      </c>
      <c r="C210" s="146" t="s">
        <v>643</v>
      </c>
      <c r="D210" s="147"/>
      <c r="E210" s="147"/>
      <c r="F210" s="147"/>
      <c r="G210" s="147"/>
      <c r="H210" s="41" t="s">
        <v>895</v>
      </c>
      <c r="I210" s="76">
        <v>30.5</v>
      </c>
      <c r="J210" s="60">
        <v>0</v>
      </c>
      <c r="K210" s="60">
        <f>I210*J210</f>
        <v>0</v>
      </c>
      <c r="L210" s="53" t="s">
        <v>906</v>
      </c>
      <c r="M210" s="17"/>
      <c r="Z210" s="28">
        <f>IF(AQ210="5",BJ210,0)</f>
        <v>0</v>
      </c>
      <c r="AB210" s="28">
        <f>IF(AQ210="1",BH210,0)</f>
        <v>0</v>
      </c>
      <c r="AC210" s="28">
        <f>IF(AQ210="1",BI210,0)</f>
        <v>0</v>
      </c>
      <c r="AD210" s="28">
        <f>IF(AQ210="7",BH210,0)</f>
        <v>0</v>
      </c>
      <c r="AE210" s="28">
        <f>IF(AQ210="7",BI210,0)</f>
        <v>0</v>
      </c>
      <c r="AF210" s="28">
        <f>IF(AQ210="2",BH210,0)</f>
        <v>0</v>
      </c>
      <c r="AG210" s="28">
        <f>IF(AQ210="2",BI210,0)</f>
        <v>0</v>
      </c>
      <c r="AH210" s="28">
        <f>IF(AQ210="0",BJ210,0)</f>
        <v>0</v>
      </c>
      <c r="AI210" s="56" t="s">
        <v>72</v>
      </c>
      <c r="AJ210" s="60">
        <f>IF(AN210=0,K210,0)</f>
        <v>0</v>
      </c>
      <c r="AK210" s="60">
        <f>IF(AN210=15,K210,0)</f>
        <v>0</v>
      </c>
      <c r="AL210" s="60">
        <f>IF(AN210=21,K210,0)</f>
        <v>0</v>
      </c>
      <c r="AN210" s="28">
        <v>21</v>
      </c>
      <c r="AO210" s="28">
        <f>J210*0.049765625</f>
        <v>0</v>
      </c>
      <c r="AP210" s="28">
        <f>J210*(1-0.049765625)</f>
        <v>0</v>
      </c>
      <c r="AQ210" s="57" t="s">
        <v>88</v>
      </c>
      <c r="AV210" s="28">
        <f>AW210+AX210</f>
        <v>0</v>
      </c>
      <c r="AW210" s="28">
        <f>I210*AO210</f>
        <v>0</v>
      </c>
      <c r="AX210" s="28">
        <f>I210*AP210</f>
        <v>0</v>
      </c>
      <c r="AY210" s="59" t="s">
        <v>931</v>
      </c>
      <c r="AZ210" s="59" t="s">
        <v>959</v>
      </c>
      <c r="BA210" s="56" t="s">
        <v>966</v>
      </c>
      <c r="BC210" s="28">
        <f>AW210+AX210</f>
        <v>0</v>
      </c>
      <c r="BD210" s="28">
        <f>J210/(100-BE210)*100</f>
        <v>0</v>
      </c>
      <c r="BE210" s="28">
        <v>0</v>
      </c>
      <c r="BF210" s="28">
        <f>210</f>
        <v>210</v>
      </c>
      <c r="BH210" s="60">
        <f>I210*AO210</f>
        <v>0</v>
      </c>
      <c r="BI210" s="60">
        <f>I210*AP210</f>
        <v>0</v>
      </c>
      <c r="BJ210" s="60">
        <f>I210*J210</f>
        <v>0</v>
      </c>
      <c r="BK210" s="60" t="s">
        <v>971</v>
      </c>
      <c r="BL210" s="28">
        <v>722</v>
      </c>
    </row>
    <row r="211" spans="1:64" x14ac:dyDescent="0.25">
      <c r="A211" s="17"/>
      <c r="C211" s="148" t="s">
        <v>644</v>
      </c>
      <c r="D211" s="149"/>
      <c r="E211" s="149"/>
      <c r="F211" s="149"/>
      <c r="G211" s="149"/>
      <c r="I211" s="77">
        <v>30.5</v>
      </c>
      <c r="L211" s="14"/>
      <c r="M211" s="17"/>
    </row>
    <row r="212" spans="1:64" x14ac:dyDescent="0.25">
      <c r="A212" s="35" t="s">
        <v>140</v>
      </c>
      <c r="B212" s="43" t="s">
        <v>325</v>
      </c>
      <c r="C212" s="159" t="s">
        <v>645</v>
      </c>
      <c r="D212" s="160"/>
      <c r="E212" s="160"/>
      <c r="F212" s="160"/>
      <c r="G212" s="160"/>
      <c r="H212" s="43" t="s">
        <v>895</v>
      </c>
      <c r="I212" s="78">
        <v>30.5</v>
      </c>
      <c r="J212" s="61">
        <v>0</v>
      </c>
      <c r="K212" s="61">
        <f>I212*J212</f>
        <v>0</v>
      </c>
      <c r="L212" s="54" t="s">
        <v>906</v>
      </c>
      <c r="M212" s="17"/>
      <c r="Z212" s="28">
        <f>IF(AQ212="5",BJ212,0)</f>
        <v>0</v>
      </c>
      <c r="AB212" s="28">
        <f>IF(AQ212="1",BH212,0)</f>
        <v>0</v>
      </c>
      <c r="AC212" s="28">
        <f>IF(AQ212="1",BI212,0)</f>
        <v>0</v>
      </c>
      <c r="AD212" s="28">
        <f>IF(AQ212="7",BH212,0)</f>
        <v>0</v>
      </c>
      <c r="AE212" s="28">
        <f>IF(AQ212="7",BI212,0)</f>
        <v>0</v>
      </c>
      <c r="AF212" s="28">
        <f>IF(AQ212="2",BH212,0)</f>
        <v>0</v>
      </c>
      <c r="AG212" s="28">
        <f>IF(AQ212="2",BI212,0)</f>
        <v>0</v>
      </c>
      <c r="AH212" s="28">
        <f>IF(AQ212="0",BJ212,0)</f>
        <v>0</v>
      </c>
      <c r="AI212" s="56" t="s">
        <v>72</v>
      </c>
      <c r="AJ212" s="61">
        <f>IF(AN212=0,K212,0)</f>
        <v>0</v>
      </c>
      <c r="AK212" s="61">
        <f>IF(AN212=15,K212,0)</f>
        <v>0</v>
      </c>
      <c r="AL212" s="61">
        <f>IF(AN212=21,K212,0)</f>
        <v>0</v>
      </c>
      <c r="AN212" s="28">
        <v>21</v>
      </c>
      <c r="AO212" s="28">
        <f>J212*1</f>
        <v>0</v>
      </c>
      <c r="AP212" s="28">
        <f>J212*(1-1)</f>
        <v>0</v>
      </c>
      <c r="AQ212" s="58" t="s">
        <v>88</v>
      </c>
      <c r="AV212" s="28">
        <f>AW212+AX212</f>
        <v>0</v>
      </c>
      <c r="AW212" s="28">
        <f>I212*AO212</f>
        <v>0</v>
      </c>
      <c r="AX212" s="28">
        <f>I212*AP212</f>
        <v>0</v>
      </c>
      <c r="AY212" s="59" t="s">
        <v>931</v>
      </c>
      <c r="AZ212" s="59" t="s">
        <v>959</v>
      </c>
      <c r="BA212" s="56" t="s">
        <v>966</v>
      </c>
      <c r="BC212" s="28">
        <f>AW212+AX212</f>
        <v>0</v>
      </c>
      <c r="BD212" s="28">
        <f>J212/(100-BE212)*100</f>
        <v>0</v>
      </c>
      <c r="BE212" s="28">
        <v>0</v>
      </c>
      <c r="BF212" s="28">
        <f>212</f>
        <v>212</v>
      </c>
      <c r="BH212" s="61">
        <f>I212*AO212</f>
        <v>0</v>
      </c>
      <c r="BI212" s="61">
        <f>I212*AP212</f>
        <v>0</v>
      </c>
      <c r="BJ212" s="61">
        <f>I212*J212</f>
        <v>0</v>
      </c>
      <c r="BK212" s="61" t="s">
        <v>972</v>
      </c>
      <c r="BL212" s="28">
        <v>722</v>
      </c>
    </row>
    <row r="213" spans="1:64" x14ac:dyDescent="0.25">
      <c r="A213" s="17"/>
      <c r="C213" s="148" t="s">
        <v>644</v>
      </c>
      <c r="D213" s="149"/>
      <c r="E213" s="149"/>
      <c r="F213" s="149"/>
      <c r="G213" s="149"/>
      <c r="I213" s="77">
        <v>30.5</v>
      </c>
      <c r="L213" s="14"/>
      <c r="M213" s="17"/>
    </row>
    <row r="214" spans="1:64" x14ac:dyDescent="0.25">
      <c r="A214" s="17"/>
      <c r="C214" s="148" t="s">
        <v>646</v>
      </c>
      <c r="D214" s="149"/>
      <c r="E214" s="149"/>
      <c r="F214" s="149"/>
      <c r="G214" s="149"/>
      <c r="I214" s="77">
        <v>0</v>
      </c>
      <c r="L214" s="14"/>
      <c r="M214" s="17"/>
    </row>
    <row r="215" spans="1:64" x14ac:dyDescent="0.25">
      <c r="A215" s="34" t="s">
        <v>141</v>
      </c>
      <c r="B215" s="41" t="s">
        <v>326</v>
      </c>
      <c r="C215" s="146" t="s">
        <v>647</v>
      </c>
      <c r="D215" s="147"/>
      <c r="E215" s="147"/>
      <c r="F215" s="147"/>
      <c r="G215" s="147"/>
      <c r="H215" s="41" t="s">
        <v>895</v>
      </c>
      <c r="I215" s="76">
        <v>7.2</v>
      </c>
      <c r="J215" s="60">
        <v>0</v>
      </c>
      <c r="K215" s="60">
        <f>I215*J215</f>
        <v>0</v>
      </c>
      <c r="L215" s="53" t="s">
        <v>906</v>
      </c>
      <c r="M215" s="17"/>
      <c r="Z215" s="28">
        <f>IF(AQ215="5",BJ215,0)</f>
        <v>0</v>
      </c>
      <c r="AB215" s="28">
        <f>IF(AQ215="1",BH215,0)</f>
        <v>0</v>
      </c>
      <c r="AC215" s="28">
        <f>IF(AQ215="1",BI215,0)</f>
        <v>0</v>
      </c>
      <c r="AD215" s="28">
        <f>IF(AQ215="7",BH215,0)</f>
        <v>0</v>
      </c>
      <c r="AE215" s="28">
        <f>IF(AQ215="7",BI215,0)</f>
        <v>0</v>
      </c>
      <c r="AF215" s="28">
        <f>IF(AQ215="2",BH215,0)</f>
        <v>0</v>
      </c>
      <c r="AG215" s="28">
        <f>IF(AQ215="2",BI215,0)</f>
        <v>0</v>
      </c>
      <c r="AH215" s="28">
        <f>IF(AQ215="0",BJ215,0)</f>
        <v>0</v>
      </c>
      <c r="AI215" s="56" t="s">
        <v>72</v>
      </c>
      <c r="AJ215" s="60">
        <f>IF(AN215=0,K215,0)</f>
        <v>0</v>
      </c>
      <c r="AK215" s="60">
        <f>IF(AN215=15,K215,0)</f>
        <v>0</v>
      </c>
      <c r="AL215" s="60">
        <f>IF(AN215=21,K215,0)</f>
        <v>0</v>
      </c>
      <c r="AN215" s="28">
        <v>21</v>
      </c>
      <c r="AO215" s="28">
        <f>J215*0.0458273381294964</f>
        <v>0</v>
      </c>
      <c r="AP215" s="28">
        <f>J215*(1-0.0458273381294964)</f>
        <v>0</v>
      </c>
      <c r="AQ215" s="57" t="s">
        <v>88</v>
      </c>
      <c r="AV215" s="28">
        <f>AW215+AX215</f>
        <v>0</v>
      </c>
      <c r="AW215" s="28">
        <f>I215*AO215</f>
        <v>0</v>
      </c>
      <c r="AX215" s="28">
        <f>I215*AP215</f>
        <v>0</v>
      </c>
      <c r="AY215" s="59" t="s">
        <v>931</v>
      </c>
      <c r="AZ215" s="59" t="s">
        <v>959</v>
      </c>
      <c r="BA215" s="56" t="s">
        <v>966</v>
      </c>
      <c r="BC215" s="28">
        <f>AW215+AX215</f>
        <v>0</v>
      </c>
      <c r="BD215" s="28">
        <f>J215/(100-BE215)*100</f>
        <v>0</v>
      </c>
      <c r="BE215" s="28">
        <v>0</v>
      </c>
      <c r="BF215" s="28">
        <f>215</f>
        <v>215</v>
      </c>
      <c r="BH215" s="60">
        <f>I215*AO215</f>
        <v>0</v>
      </c>
      <c r="BI215" s="60">
        <f>I215*AP215</f>
        <v>0</v>
      </c>
      <c r="BJ215" s="60">
        <f>I215*J215</f>
        <v>0</v>
      </c>
      <c r="BK215" s="60" t="s">
        <v>971</v>
      </c>
      <c r="BL215" s="28">
        <v>722</v>
      </c>
    </row>
    <row r="216" spans="1:64" x14ac:dyDescent="0.25">
      <c r="A216" s="17"/>
      <c r="C216" s="148" t="s">
        <v>648</v>
      </c>
      <c r="D216" s="149"/>
      <c r="E216" s="149"/>
      <c r="F216" s="149"/>
      <c r="G216" s="149"/>
      <c r="I216" s="77">
        <v>7.2</v>
      </c>
      <c r="L216" s="14"/>
      <c r="M216" s="17"/>
    </row>
    <row r="217" spans="1:64" x14ac:dyDescent="0.25">
      <c r="A217" s="35" t="s">
        <v>142</v>
      </c>
      <c r="B217" s="43" t="s">
        <v>327</v>
      </c>
      <c r="C217" s="159" t="s">
        <v>649</v>
      </c>
      <c r="D217" s="160"/>
      <c r="E217" s="160"/>
      <c r="F217" s="160"/>
      <c r="G217" s="160"/>
      <c r="H217" s="43" t="s">
        <v>895</v>
      </c>
      <c r="I217" s="78">
        <v>7.4160000000000004</v>
      </c>
      <c r="J217" s="61">
        <v>0</v>
      </c>
      <c r="K217" s="61">
        <f>I217*J217</f>
        <v>0</v>
      </c>
      <c r="L217" s="54" t="s">
        <v>906</v>
      </c>
      <c r="M217" s="17"/>
      <c r="Z217" s="28">
        <f>IF(AQ217="5",BJ217,0)</f>
        <v>0</v>
      </c>
      <c r="AB217" s="28">
        <f>IF(AQ217="1",BH217,0)</f>
        <v>0</v>
      </c>
      <c r="AC217" s="28">
        <f>IF(AQ217="1",BI217,0)</f>
        <v>0</v>
      </c>
      <c r="AD217" s="28">
        <f>IF(AQ217="7",BH217,0)</f>
        <v>0</v>
      </c>
      <c r="AE217" s="28">
        <f>IF(AQ217="7",BI217,0)</f>
        <v>0</v>
      </c>
      <c r="AF217" s="28">
        <f>IF(AQ217="2",BH217,0)</f>
        <v>0</v>
      </c>
      <c r="AG217" s="28">
        <f>IF(AQ217="2",BI217,0)</f>
        <v>0</v>
      </c>
      <c r="AH217" s="28">
        <f>IF(AQ217="0",BJ217,0)</f>
        <v>0</v>
      </c>
      <c r="AI217" s="56" t="s">
        <v>72</v>
      </c>
      <c r="AJ217" s="61">
        <f>IF(AN217=0,K217,0)</f>
        <v>0</v>
      </c>
      <c r="AK217" s="61">
        <f>IF(AN217=15,K217,0)</f>
        <v>0</v>
      </c>
      <c r="AL217" s="61">
        <f>IF(AN217=21,K217,0)</f>
        <v>0</v>
      </c>
      <c r="AN217" s="28">
        <v>21</v>
      </c>
      <c r="AO217" s="28">
        <f>J217*1</f>
        <v>0</v>
      </c>
      <c r="AP217" s="28">
        <f>J217*(1-1)</f>
        <v>0</v>
      </c>
      <c r="AQ217" s="58" t="s">
        <v>88</v>
      </c>
      <c r="AV217" s="28">
        <f>AW217+AX217</f>
        <v>0</v>
      </c>
      <c r="AW217" s="28">
        <f>I217*AO217</f>
        <v>0</v>
      </c>
      <c r="AX217" s="28">
        <f>I217*AP217</f>
        <v>0</v>
      </c>
      <c r="AY217" s="59" t="s">
        <v>931</v>
      </c>
      <c r="AZ217" s="59" t="s">
        <v>959</v>
      </c>
      <c r="BA217" s="56" t="s">
        <v>966</v>
      </c>
      <c r="BC217" s="28">
        <f>AW217+AX217</f>
        <v>0</v>
      </c>
      <c r="BD217" s="28">
        <f>J217/(100-BE217)*100</f>
        <v>0</v>
      </c>
      <c r="BE217" s="28">
        <v>0</v>
      </c>
      <c r="BF217" s="28">
        <f>217</f>
        <v>217</v>
      </c>
      <c r="BH217" s="61">
        <f>I217*AO217</f>
        <v>0</v>
      </c>
      <c r="BI217" s="61">
        <f>I217*AP217</f>
        <v>0</v>
      </c>
      <c r="BJ217" s="61">
        <f>I217*J217</f>
        <v>0</v>
      </c>
      <c r="BK217" s="61" t="s">
        <v>972</v>
      </c>
      <c r="BL217" s="28">
        <v>722</v>
      </c>
    </row>
    <row r="218" spans="1:64" x14ac:dyDescent="0.25">
      <c r="A218" s="17"/>
      <c r="C218" s="148" t="s">
        <v>648</v>
      </c>
      <c r="D218" s="149"/>
      <c r="E218" s="149"/>
      <c r="F218" s="149"/>
      <c r="G218" s="149"/>
      <c r="I218" s="77">
        <v>7.2</v>
      </c>
      <c r="L218" s="14"/>
      <c r="M218" s="17"/>
    </row>
    <row r="219" spans="1:64" x14ac:dyDescent="0.25">
      <c r="A219" s="17"/>
      <c r="C219" s="148" t="s">
        <v>650</v>
      </c>
      <c r="D219" s="149"/>
      <c r="E219" s="149"/>
      <c r="F219" s="149"/>
      <c r="G219" s="149"/>
      <c r="I219" s="77">
        <v>0.216</v>
      </c>
      <c r="L219" s="14"/>
      <c r="M219" s="17"/>
    </row>
    <row r="220" spans="1:64" x14ac:dyDescent="0.25">
      <c r="A220" s="34" t="s">
        <v>143</v>
      </c>
      <c r="B220" s="41" t="s">
        <v>328</v>
      </c>
      <c r="C220" s="146" t="s">
        <v>651</v>
      </c>
      <c r="D220" s="147"/>
      <c r="E220" s="147"/>
      <c r="F220" s="147"/>
      <c r="G220" s="147"/>
      <c r="H220" s="41" t="s">
        <v>895</v>
      </c>
      <c r="I220" s="76">
        <v>16</v>
      </c>
      <c r="J220" s="60">
        <v>0</v>
      </c>
      <c r="K220" s="60">
        <f>I220*J220</f>
        <v>0</v>
      </c>
      <c r="L220" s="53" t="s">
        <v>906</v>
      </c>
      <c r="M220" s="17"/>
      <c r="Z220" s="28">
        <f>IF(AQ220="5",BJ220,0)</f>
        <v>0</v>
      </c>
      <c r="AB220" s="28">
        <f>IF(AQ220="1",BH220,0)</f>
        <v>0</v>
      </c>
      <c r="AC220" s="28">
        <f>IF(AQ220="1",BI220,0)</f>
        <v>0</v>
      </c>
      <c r="AD220" s="28">
        <f>IF(AQ220="7",BH220,0)</f>
        <v>0</v>
      </c>
      <c r="AE220" s="28">
        <f>IF(AQ220="7",BI220,0)</f>
        <v>0</v>
      </c>
      <c r="AF220" s="28">
        <f>IF(AQ220="2",BH220,0)</f>
        <v>0</v>
      </c>
      <c r="AG220" s="28">
        <f>IF(AQ220="2",BI220,0)</f>
        <v>0</v>
      </c>
      <c r="AH220" s="28">
        <f>IF(AQ220="0",BJ220,0)</f>
        <v>0</v>
      </c>
      <c r="AI220" s="56" t="s">
        <v>72</v>
      </c>
      <c r="AJ220" s="60">
        <f>IF(AN220=0,K220,0)</f>
        <v>0</v>
      </c>
      <c r="AK220" s="60">
        <f>IF(AN220=15,K220,0)</f>
        <v>0</v>
      </c>
      <c r="AL220" s="60">
        <f>IF(AN220=21,K220,0)</f>
        <v>0</v>
      </c>
      <c r="AN220" s="28">
        <v>21</v>
      </c>
      <c r="AO220" s="28">
        <f>J220*0.0399373040752351</f>
        <v>0</v>
      </c>
      <c r="AP220" s="28">
        <f>J220*(1-0.0399373040752351)</f>
        <v>0</v>
      </c>
      <c r="AQ220" s="57" t="s">
        <v>88</v>
      </c>
      <c r="AV220" s="28">
        <f>AW220+AX220</f>
        <v>0</v>
      </c>
      <c r="AW220" s="28">
        <f>I220*AO220</f>
        <v>0</v>
      </c>
      <c r="AX220" s="28">
        <f>I220*AP220</f>
        <v>0</v>
      </c>
      <c r="AY220" s="59" t="s">
        <v>931</v>
      </c>
      <c r="AZ220" s="59" t="s">
        <v>959</v>
      </c>
      <c r="BA220" s="56" t="s">
        <v>966</v>
      </c>
      <c r="BC220" s="28">
        <f>AW220+AX220</f>
        <v>0</v>
      </c>
      <c r="BD220" s="28">
        <f>J220/(100-BE220)*100</f>
        <v>0</v>
      </c>
      <c r="BE220" s="28">
        <v>0</v>
      </c>
      <c r="BF220" s="28">
        <f>220</f>
        <v>220</v>
      </c>
      <c r="BH220" s="60">
        <f>I220*AO220</f>
        <v>0</v>
      </c>
      <c r="BI220" s="60">
        <f>I220*AP220</f>
        <v>0</v>
      </c>
      <c r="BJ220" s="60">
        <f>I220*J220</f>
        <v>0</v>
      </c>
      <c r="BK220" s="60" t="s">
        <v>971</v>
      </c>
      <c r="BL220" s="28">
        <v>722</v>
      </c>
    </row>
    <row r="221" spans="1:64" x14ac:dyDescent="0.25">
      <c r="A221" s="17"/>
      <c r="C221" s="148" t="s">
        <v>652</v>
      </c>
      <c r="D221" s="149"/>
      <c r="E221" s="149"/>
      <c r="F221" s="149"/>
      <c r="G221" s="149"/>
      <c r="I221" s="77">
        <v>16</v>
      </c>
      <c r="L221" s="14"/>
      <c r="M221" s="17"/>
    </row>
    <row r="222" spans="1:64" x14ac:dyDescent="0.25">
      <c r="A222" s="35" t="s">
        <v>144</v>
      </c>
      <c r="B222" s="43" t="s">
        <v>329</v>
      </c>
      <c r="C222" s="159" t="s">
        <v>653</v>
      </c>
      <c r="D222" s="160"/>
      <c r="E222" s="160"/>
      <c r="F222" s="160"/>
      <c r="G222" s="160"/>
      <c r="H222" s="43" t="s">
        <v>895</v>
      </c>
      <c r="I222" s="78">
        <v>16.48</v>
      </c>
      <c r="J222" s="61">
        <v>0</v>
      </c>
      <c r="K222" s="61">
        <f>I222*J222</f>
        <v>0</v>
      </c>
      <c r="L222" s="54" t="s">
        <v>906</v>
      </c>
      <c r="M222" s="17"/>
      <c r="Z222" s="28">
        <f>IF(AQ222="5",BJ222,0)</f>
        <v>0</v>
      </c>
      <c r="AB222" s="28">
        <f>IF(AQ222="1",BH222,0)</f>
        <v>0</v>
      </c>
      <c r="AC222" s="28">
        <f>IF(AQ222="1",BI222,0)</f>
        <v>0</v>
      </c>
      <c r="AD222" s="28">
        <f>IF(AQ222="7",BH222,0)</f>
        <v>0</v>
      </c>
      <c r="AE222" s="28">
        <f>IF(AQ222="7",BI222,0)</f>
        <v>0</v>
      </c>
      <c r="AF222" s="28">
        <f>IF(AQ222="2",BH222,0)</f>
        <v>0</v>
      </c>
      <c r="AG222" s="28">
        <f>IF(AQ222="2",BI222,0)</f>
        <v>0</v>
      </c>
      <c r="AH222" s="28">
        <f>IF(AQ222="0",BJ222,0)</f>
        <v>0</v>
      </c>
      <c r="AI222" s="56" t="s">
        <v>72</v>
      </c>
      <c r="AJ222" s="61">
        <f>IF(AN222=0,K222,0)</f>
        <v>0</v>
      </c>
      <c r="AK222" s="61">
        <f>IF(AN222=15,K222,0)</f>
        <v>0</v>
      </c>
      <c r="AL222" s="61">
        <f>IF(AN222=21,K222,0)</f>
        <v>0</v>
      </c>
      <c r="AN222" s="28">
        <v>21</v>
      </c>
      <c r="AO222" s="28">
        <f>J222*1</f>
        <v>0</v>
      </c>
      <c r="AP222" s="28">
        <f>J222*(1-1)</f>
        <v>0</v>
      </c>
      <c r="AQ222" s="58" t="s">
        <v>88</v>
      </c>
      <c r="AV222" s="28">
        <f>AW222+AX222</f>
        <v>0</v>
      </c>
      <c r="AW222" s="28">
        <f>I222*AO222</f>
        <v>0</v>
      </c>
      <c r="AX222" s="28">
        <f>I222*AP222</f>
        <v>0</v>
      </c>
      <c r="AY222" s="59" t="s">
        <v>931</v>
      </c>
      <c r="AZ222" s="59" t="s">
        <v>959</v>
      </c>
      <c r="BA222" s="56" t="s">
        <v>966</v>
      </c>
      <c r="BC222" s="28">
        <f>AW222+AX222</f>
        <v>0</v>
      </c>
      <c r="BD222" s="28">
        <f>J222/(100-BE222)*100</f>
        <v>0</v>
      </c>
      <c r="BE222" s="28">
        <v>0</v>
      </c>
      <c r="BF222" s="28">
        <f>222</f>
        <v>222</v>
      </c>
      <c r="BH222" s="61">
        <f>I222*AO222</f>
        <v>0</v>
      </c>
      <c r="BI222" s="61">
        <f>I222*AP222</f>
        <v>0</v>
      </c>
      <c r="BJ222" s="61">
        <f>I222*J222</f>
        <v>0</v>
      </c>
      <c r="BK222" s="61" t="s">
        <v>972</v>
      </c>
      <c r="BL222" s="28">
        <v>722</v>
      </c>
    </row>
    <row r="223" spans="1:64" x14ac:dyDescent="0.25">
      <c r="A223" s="17"/>
      <c r="C223" s="148" t="s">
        <v>652</v>
      </c>
      <c r="D223" s="149"/>
      <c r="E223" s="149"/>
      <c r="F223" s="149"/>
      <c r="G223" s="149"/>
      <c r="I223" s="77">
        <v>16</v>
      </c>
      <c r="L223" s="14"/>
      <c r="M223" s="17"/>
    </row>
    <row r="224" spans="1:64" x14ac:dyDescent="0.25">
      <c r="A224" s="17"/>
      <c r="C224" s="148" t="s">
        <v>654</v>
      </c>
      <c r="D224" s="149"/>
      <c r="E224" s="149"/>
      <c r="F224" s="149"/>
      <c r="G224" s="149"/>
      <c r="I224" s="77">
        <v>0.48</v>
      </c>
      <c r="L224" s="14"/>
      <c r="M224" s="17"/>
    </row>
    <row r="225" spans="1:64" x14ac:dyDescent="0.25">
      <c r="A225" s="34" t="s">
        <v>145</v>
      </c>
      <c r="B225" s="41" t="s">
        <v>330</v>
      </c>
      <c r="C225" s="146" t="s">
        <v>655</v>
      </c>
      <c r="D225" s="147"/>
      <c r="E225" s="147"/>
      <c r="F225" s="147"/>
      <c r="G225" s="147"/>
      <c r="H225" s="41" t="s">
        <v>895</v>
      </c>
      <c r="I225" s="76">
        <v>67.7</v>
      </c>
      <c r="J225" s="60">
        <v>0</v>
      </c>
      <c r="K225" s="60">
        <f>I225*J225</f>
        <v>0</v>
      </c>
      <c r="L225" s="53" t="s">
        <v>906</v>
      </c>
      <c r="M225" s="17"/>
      <c r="Z225" s="28">
        <f>IF(AQ225="5",BJ225,0)</f>
        <v>0</v>
      </c>
      <c r="AB225" s="28">
        <f>IF(AQ225="1",BH225,0)</f>
        <v>0</v>
      </c>
      <c r="AC225" s="28">
        <f>IF(AQ225="1",BI225,0)</f>
        <v>0</v>
      </c>
      <c r="AD225" s="28">
        <f>IF(AQ225="7",BH225,0)</f>
        <v>0</v>
      </c>
      <c r="AE225" s="28">
        <f>IF(AQ225="7",BI225,0)</f>
        <v>0</v>
      </c>
      <c r="AF225" s="28">
        <f>IF(AQ225="2",BH225,0)</f>
        <v>0</v>
      </c>
      <c r="AG225" s="28">
        <f>IF(AQ225="2",BI225,0)</f>
        <v>0</v>
      </c>
      <c r="AH225" s="28">
        <f>IF(AQ225="0",BJ225,0)</f>
        <v>0</v>
      </c>
      <c r="AI225" s="56" t="s">
        <v>72</v>
      </c>
      <c r="AJ225" s="60">
        <f>IF(AN225=0,K225,0)</f>
        <v>0</v>
      </c>
      <c r="AK225" s="60">
        <f>IF(AN225=15,K225,0)</f>
        <v>0</v>
      </c>
      <c r="AL225" s="60">
        <f>IF(AN225=21,K225,0)</f>
        <v>0</v>
      </c>
      <c r="AN225" s="28">
        <v>21</v>
      </c>
      <c r="AO225" s="28">
        <f>J225*0</f>
        <v>0</v>
      </c>
      <c r="AP225" s="28">
        <f>J225*(1-0)</f>
        <v>0</v>
      </c>
      <c r="AQ225" s="57" t="s">
        <v>88</v>
      </c>
      <c r="AV225" s="28">
        <f>AW225+AX225</f>
        <v>0</v>
      </c>
      <c r="AW225" s="28">
        <f>I225*AO225</f>
        <v>0</v>
      </c>
      <c r="AX225" s="28">
        <f>I225*AP225</f>
        <v>0</v>
      </c>
      <c r="AY225" s="59" t="s">
        <v>931</v>
      </c>
      <c r="AZ225" s="59" t="s">
        <v>959</v>
      </c>
      <c r="BA225" s="56" t="s">
        <v>966</v>
      </c>
      <c r="BC225" s="28">
        <f>AW225+AX225</f>
        <v>0</v>
      </c>
      <c r="BD225" s="28">
        <f>J225/(100-BE225)*100</f>
        <v>0</v>
      </c>
      <c r="BE225" s="28">
        <v>0</v>
      </c>
      <c r="BF225" s="28">
        <f>225</f>
        <v>225</v>
      </c>
      <c r="BH225" s="60">
        <f>I225*AO225</f>
        <v>0</v>
      </c>
      <c r="BI225" s="60">
        <f>I225*AP225</f>
        <v>0</v>
      </c>
      <c r="BJ225" s="60">
        <f>I225*J225</f>
        <v>0</v>
      </c>
      <c r="BK225" s="60" t="s">
        <v>971</v>
      </c>
      <c r="BL225" s="28">
        <v>722</v>
      </c>
    </row>
    <row r="226" spans="1:64" x14ac:dyDescent="0.25">
      <c r="A226" s="17"/>
      <c r="C226" s="148" t="s">
        <v>656</v>
      </c>
      <c r="D226" s="149"/>
      <c r="E226" s="149"/>
      <c r="F226" s="149"/>
      <c r="G226" s="149"/>
      <c r="I226" s="77">
        <v>67.7</v>
      </c>
      <c r="L226" s="14"/>
      <c r="M226" s="17"/>
    </row>
    <row r="227" spans="1:64" x14ac:dyDescent="0.25">
      <c r="A227" s="35" t="s">
        <v>146</v>
      </c>
      <c r="B227" s="43" t="s">
        <v>331</v>
      </c>
      <c r="C227" s="159" t="s">
        <v>657</v>
      </c>
      <c r="D227" s="160"/>
      <c r="E227" s="160"/>
      <c r="F227" s="160"/>
      <c r="G227" s="160"/>
      <c r="H227" s="43" t="s">
        <v>895</v>
      </c>
      <c r="I227" s="78">
        <v>30.9</v>
      </c>
      <c r="J227" s="61">
        <v>0</v>
      </c>
      <c r="K227" s="61">
        <f>I227*J227</f>
        <v>0</v>
      </c>
      <c r="L227" s="54" t="s">
        <v>906</v>
      </c>
      <c r="M227" s="17"/>
      <c r="Z227" s="28">
        <f>IF(AQ227="5",BJ227,0)</f>
        <v>0</v>
      </c>
      <c r="AB227" s="28">
        <f>IF(AQ227="1",BH227,0)</f>
        <v>0</v>
      </c>
      <c r="AC227" s="28">
        <f>IF(AQ227="1",BI227,0)</f>
        <v>0</v>
      </c>
      <c r="AD227" s="28">
        <f>IF(AQ227="7",BH227,0)</f>
        <v>0</v>
      </c>
      <c r="AE227" s="28">
        <f>IF(AQ227="7",BI227,0)</f>
        <v>0</v>
      </c>
      <c r="AF227" s="28">
        <f>IF(AQ227="2",BH227,0)</f>
        <v>0</v>
      </c>
      <c r="AG227" s="28">
        <f>IF(AQ227="2",BI227,0)</f>
        <v>0</v>
      </c>
      <c r="AH227" s="28">
        <f>IF(AQ227="0",BJ227,0)</f>
        <v>0</v>
      </c>
      <c r="AI227" s="56" t="s">
        <v>72</v>
      </c>
      <c r="AJ227" s="61">
        <f>IF(AN227=0,K227,0)</f>
        <v>0</v>
      </c>
      <c r="AK227" s="61">
        <f>IF(AN227=15,K227,0)</f>
        <v>0</v>
      </c>
      <c r="AL227" s="61">
        <f>IF(AN227=21,K227,0)</f>
        <v>0</v>
      </c>
      <c r="AN227" s="28">
        <v>21</v>
      </c>
      <c r="AO227" s="28">
        <f>J227*1</f>
        <v>0</v>
      </c>
      <c r="AP227" s="28">
        <f>J227*(1-1)</f>
        <v>0</v>
      </c>
      <c r="AQ227" s="58" t="s">
        <v>88</v>
      </c>
      <c r="AV227" s="28">
        <f>AW227+AX227</f>
        <v>0</v>
      </c>
      <c r="AW227" s="28">
        <f>I227*AO227</f>
        <v>0</v>
      </c>
      <c r="AX227" s="28">
        <f>I227*AP227</f>
        <v>0</v>
      </c>
      <c r="AY227" s="59" t="s">
        <v>931</v>
      </c>
      <c r="AZ227" s="59" t="s">
        <v>959</v>
      </c>
      <c r="BA227" s="56" t="s">
        <v>966</v>
      </c>
      <c r="BC227" s="28">
        <f>AW227+AX227</f>
        <v>0</v>
      </c>
      <c r="BD227" s="28">
        <f>J227/(100-BE227)*100</f>
        <v>0</v>
      </c>
      <c r="BE227" s="28">
        <v>0</v>
      </c>
      <c r="BF227" s="28">
        <f>227</f>
        <v>227</v>
      </c>
      <c r="BH227" s="61">
        <f>I227*AO227</f>
        <v>0</v>
      </c>
      <c r="BI227" s="61">
        <f>I227*AP227</f>
        <v>0</v>
      </c>
      <c r="BJ227" s="61">
        <f>I227*J227</f>
        <v>0</v>
      </c>
      <c r="BK227" s="61" t="s">
        <v>972</v>
      </c>
      <c r="BL227" s="28">
        <v>722</v>
      </c>
    </row>
    <row r="228" spans="1:64" x14ac:dyDescent="0.25">
      <c r="A228" s="17"/>
      <c r="C228" s="148" t="s">
        <v>640</v>
      </c>
      <c r="D228" s="149"/>
      <c r="E228" s="149"/>
      <c r="F228" s="149"/>
      <c r="G228" s="149"/>
      <c r="I228" s="77">
        <v>30</v>
      </c>
      <c r="L228" s="14"/>
      <c r="M228" s="17"/>
    </row>
    <row r="229" spans="1:64" x14ac:dyDescent="0.25">
      <c r="A229" s="17"/>
      <c r="C229" s="148" t="s">
        <v>642</v>
      </c>
      <c r="D229" s="149"/>
      <c r="E229" s="149"/>
      <c r="F229" s="149"/>
      <c r="G229" s="149"/>
      <c r="I229" s="77">
        <v>0.9</v>
      </c>
      <c r="L229" s="14"/>
      <c r="M229" s="17"/>
    </row>
    <row r="230" spans="1:64" x14ac:dyDescent="0.25">
      <c r="A230" s="35" t="s">
        <v>147</v>
      </c>
      <c r="B230" s="43" t="s">
        <v>332</v>
      </c>
      <c r="C230" s="159" t="s">
        <v>658</v>
      </c>
      <c r="D230" s="160"/>
      <c r="E230" s="160"/>
      <c r="F230" s="160"/>
      <c r="G230" s="160"/>
      <c r="H230" s="43" t="s">
        <v>895</v>
      </c>
      <c r="I230" s="78">
        <v>30.5</v>
      </c>
      <c r="J230" s="61">
        <v>0</v>
      </c>
      <c r="K230" s="61">
        <f>I230*J230</f>
        <v>0</v>
      </c>
      <c r="L230" s="54" t="s">
        <v>906</v>
      </c>
      <c r="M230" s="17"/>
      <c r="Z230" s="28">
        <f>IF(AQ230="5",BJ230,0)</f>
        <v>0</v>
      </c>
      <c r="AB230" s="28">
        <f>IF(AQ230="1",BH230,0)</f>
        <v>0</v>
      </c>
      <c r="AC230" s="28">
        <f>IF(AQ230="1",BI230,0)</f>
        <v>0</v>
      </c>
      <c r="AD230" s="28">
        <f>IF(AQ230="7",BH230,0)</f>
        <v>0</v>
      </c>
      <c r="AE230" s="28">
        <f>IF(AQ230="7",BI230,0)</f>
        <v>0</v>
      </c>
      <c r="AF230" s="28">
        <f>IF(AQ230="2",BH230,0)</f>
        <v>0</v>
      </c>
      <c r="AG230" s="28">
        <f>IF(AQ230="2",BI230,0)</f>
        <v>0</v>
      </c>
      <c r="AH230" s="28">
        <f>IF(AQ230="0",BJ230,0)</f>
        <v>0</v>
      </c>
      <c r="AI230" s="56" t="s">
        <v>72</v>
      </c>
      <c r="AJ230" s="61">
        <f>IF(AN230=0,K230,0)</f>
        <v>0</v>
      </c>
      <c r="AK230" s="61">
        <f>IF(AN230=15,K230,0)</f>
        <v>0</v>
      </c>
      <c r="AL230" s="61">
        <f>IF(AN230=21,K230,0)</f>
        <v>0</v>
      </c>
      <c r="AN230" s="28">
        <v>21</v>
      </c>
      <c r="AO230" s="28">
        <f>J230*1</f>
        <v>0</v>
      </c>
      <c r="AP230" s="28">
        <f>J230*(1-1)</f>
        <v>0</v>
      </c>
      <c r="AQ230" s="58" t="s">
        <v>88</v>
      </c>
      <c r="AV230" s="28">
        <f>AW230+AX230</f>
        <v>0</v>
      </c>
      <c r="AW230" s="28">
        <f>I230*AO230</f>
        <v>0</v>
      </c>
      <c r="AX230" s="28">
        <f>I230*AP230</f>
        <v>0</v>
      </c>
      <c r="AY230" s="59" t="s">
        <v>931</v>
      </c>
      <c r="AZ230" s="59" t="s">
        <v>959</v>
      </c>
      <c r="BA230" s="56" t="s">
        <v>966</v>
      </c>
      <c r="BC230" s="28">
        <f>AW230+AX230</f>
        <v>0</v>
      </c>
      <c r="BD230" s="28">
        <f>J230/(100-BE230)*100</f>
        <v>0</v>
      </c>
      <c r="BE230" s="28">
        <v>0</v>
      </c>
      <c r="BF230" s="28">
        <f>230</f>
        <v>230</v>
      </c>
      <c r="BH230" s="61">
        <f>I230*AO230</f>
        <v>0</v>
      </c>
      <c r="BI230" s="61">
        <f>I230*AP230</f>
        <v>0</v>
      </c>
      <c r="BJ230" s="61">
        <f>I230*J230</f>
        <v>0</v>
      </c>
      <c r="BK230" s="61" t="s">
        <v>972</v>
      </c>
      <c r="BL230" s="28">
        <v>722</v>
      </c>
    </row>
    <row r="231" spans="1:64" x14ac:dyDescent="0.25">
      <c r="A231" s="17"/>
      <c r="C231" s="148" t="s">
        <v>644</v>
      </c>
      <c r="D231" s="149"/>
      <c r="E231" s="149"/>
      <c r="F231" s="149"/>
      <c r="G231" s="149"/>
      <c r="I231" s="77">
        <v>30.5</v>
      </c>
      <c r="L231" s="14"/>
      <c r="M231" s="17"/>
    </row>
    <row r="232" spans="1:64" x14ac:dyDescent="0.25">
      <c r="A232" s="17"/>
      <c r="C232" s="148" t="s">
        <v>646</v>
      </c>
      <c r="D232" s="149"/>
      <c r="E232" s="149"/>
      <c r="F232" s="149"/>
      <c r="G232" s="149"/>
      <c r="I232" s="77">
        <v>0</v>
      </c>
      <c r="L232" s="14"/>
      <c r="M232" s="17"/>
    </row>
    <row r="233" spans="1:64" x14ac:dyDescent="0.25">
      <c r="A233" s="35" t="s">
        <v>148</v>
      </c>
      <c r="B233" s="43" t="s">
        <v>333</v>
      </c>
      <c r="C233" s="159" t="s">
        <v>659</v>
      </c>
      <c r="D233" s="160"/>
      <c r="E233" s="160"/>
      <c r="F233" s="160"/>
      <c r="G233" s="160"/>
      <c r="H233" s="43" t="s">
        <v>895</v>
      </c>
      <c r="I233" s="78">
        <v>7.2</v>
      </c>
      <c r="J233" s="61">
        <v>0</v>
      </c>
      <c r="K233" s="61">
        <f>I233*J233</f>
        <v>0</v>
      </c>
      <c r="L233" s="54" t="s">
        <v>906</v>
      </c>
      <c r="M233" s="17"/>
      <c r="Z233" s="28">
        <f>IF(AQ233="5",BJ233,0)</f>
        <v>0</v>
      </c>
      <c r="AB233" s="28">
        <f>IF(AQ233="1",BH233,0)</f>
        <v>0</v>
      </c>
      <c r="AC233" s="28">
        <f>IF(AQ233="1",BI233,0)</f>
        <v>0</v>
      </c>
      <c r="AD233" s="28">
        <f>IF(AQ233="7",BH233,0)</f>
        <v>0</v>
      </c>
      <c r="AE233" s="28">
        <f>IF(AQ233="7",BI233,0)</f>
        <v>0</v>
      </c>
      <c r="AF233" s="28">
        <f>IF(AQ233="2",BH233,0)</f>
        <v>0</v>
      </c>
      <c r="AG233" s="28">
        <f>IF(AQ233="2",BI233,0)</f>
        <v>0</v>
      </c>
      <c r="AH233" s="28">
        <f>IF(AQ233="0",BJ233,0)</f>
        <v>0</v>
      </c>
      <c r="AI233" s="56" t="s">
        <v>72</v>
      </c>
      <c r="AJ233" s="61">
        <f>IF(AN233=0,K233,0)</f>
        <v>0</v>
      </c>
      <c r="AK233" s="61">
        <f>IF(AN233=15,K233,0)</f>
        <v>0</v>
      </c>
      <c r="AL233" s="61">
        <f>IF(AN233=21,K233,0)</f>
        <v>0</v>
      </c>
      <c r="AN233" s="28">
        <v>21</v>
      </c>
      <c r="AO233" s="28">
        <f>J233*1</f>
        <v>0</v>
      </c>
      <c r="AP233" s="28">
        <f>J233*(1-1)</f>
        <v>0</v>
      </c>
      <c r="AQ233" s="58" t="s">
        <v>88</v>
      </c>
      <c r="AV233" s="28">
        <f>AW233+AX233</f>
        <v>0</v>
      </c>
      <c r="AW233" s="28">
        <f>I233*AO233</f>
        <v>0</v>
      </c>
      <c r="AX233" s="28">
        <f>I233*AP233</f>
        <v>0</v>
      </c>
      <c r="AY233" s="59" t="s">
        <v>931</v>
      </c>
      <c r="AZ233" s="59" t="s">
        <v>959</v>
      </c>
      <c r="BA233" s="56" t="s">
        <v>966</v>
      </c>
      <c r="BC233" s="28">
        <f>AW233+AX233</f>
        <v>0</v>
      </c>
      <c r="BD233" s="28">
        <f>J233/(100-BE233)*100</f>
        <v>0</v>
      </c>
      <c r="BE233" s="28">
        <v>0</v>
      </c>
      <c r="BF233" s="28">
        <f>233</f>
        <v>233</v>
      </c>
      <c r="BH233" s="61">
        <f>I233*AO233</f>
        <v>0</v>
      </c>
      <c r="BI233" s="61">
        <f>I233*AP233</f>
        <v>0</v>
      </c>
      <c r="BJ233" s="61">
        <f>I233*J233</f>
        <v>0</v>
      </c>
      <c r="BK233" s="61" t="s">
        <v>972</v>
      </c>
      <c r="BL233" s="28">
        <v>722</v>
      </c>
    </row>
    <row r="234" spans="1:64" x14ac:dyDescent="0.25">
      <c r="A234" s="17"/>
      <c r="C234" s="148" t="s">
        <v>648</v>
      </c>
      <c r="D234" s="149"/>
      <c r="E234" s="149"/>
      <c r="F234" s="149"/>
      <c r="G234" s="149"/>
      <c r="I234" s="77">
        <v>7.2</v>
      </c>
      <c r="L234" s="14"/>
      <c r="M234" s="17"/>
    </row>
    <row r="235" spans="1:64" x14ac:dyDescent="0.25">
      <c r="A235" s="17"/>
      <c r="C235" s="148" t="s">
        <v>646</v>
      </c>
      <c r="D235" s="149"/>
      <c r="E235" s="149"/>
      <c r="F235" s="149"/>
      <c r="G235" s="149"/>
      <c r="I235" s="77">
        <v>0</v>
      </c>
      <c r="L235" s="14"/>
      <c r="M235" s="17"/>
    </row>
    <row r="236" spans="1:64" x14ac:dyDescent="0.25">
      <c r="A236" s="34" t="s">
        <v>149</v>
      </c>
      <c r="B236" s="41" t="s">
        <v>334</v>
      </c>
      <c r="C236" s="146" t="s">
        <v>660</v>
      </c>
      <c r="D236" s="147"/>
      <c r="E236" s="147"/>
      <c r="F236" s="147"/>
      <c r="G236" s="147"/>
      <c r="H236" s="41" t="s">
        <v>895</v>
      </c>
      <c r="I236" s="76">
        <v>16</v>
      </c>
      <c r="J236" s="60">
        <v>0</v>
      </c>
      <c r="K236" s="60">
        <f>I236*J236</f>
        <v>0</v>
      </c>
      <c r="L236" s="53" t="s">
        <v>906</v>
      </c>
      <c r="M236" s="17"/>
      <c r="Z236" s="28">
        <f>IF(AQ236="5",BJ236,0)</f>
        <v>0</v>
      </c>
      <c r="AB236" s="28">
        <f>IF(AQ236="1",BH236,0)</f>
        <v>0</v>
      </c>
      <c r="AC236" s="28">
        <f>IF(AQ236="1",BI236,0)</f>
        <v>0</v>
      </c>
      <c r="AD236" s="28">
        <f>IF(AQ236="7",BH236,0)</f>
        <v>0</v>
      </c>
      <c r="AE236" s="28">
        <f>IF(AQ236="7",BI236,0)</f>
        <v>0</v>
      </c>
      <c r="AF236" s="28">
        <f>IF(AQ236="2",BH236,0)</f>
        <v>0</v>
      </c>
      <c r="AG236" s="28">
        <f>IF(AQ236="2",BI236,0)</f>
        <v>0</v>
      </c>
      <c r="AH236" s="28">
        <f>IF(AQ236="0",BJ236,0)</f>
        <v>0</v>
      </c>
      <c r="AI236" s="56" t="s">
        <v>72</v>
      </c>
      <c r="AJ236" s="60">
        <f>IF(AN236=0,K236,0)</f>
        <v>0</v>
      </c>
      <c r="AK236" s="60">
        <f>IF(AN236=15,K236,0)</f>
        <v>0</v>
      </c>
      <c r="AL236" s="60">
        <f>IF(AN236=21,K236,0)</f>
        <v>0</v>
      </c>
      <c r="AN236" s="28">
        <v>21</v>
      </c>
      <c r="AO236" s="28">
        <f>J236*0</f>
        <v>0</v>
      </c>
      <c r="AP236" s="28">
        <f>J236*(1-0)</f>
        <v>0</v>
      </c>
      <c r="AQ236" s="57" t="s">
        <v>88</v>
      </c>
      <c r="AV236" s="28">
        <f>AW236+AX236</f>
        <v>0</v>
      </c>
      <c r="AW236" s="28">
        <f>I236*AO236</f>
        <v>0</v>
      </c>
      <c r="AX236" s="28">
        <f>I236*AP236</f>
        <v>0</v>
      </c>
      <c r="AY236" s="59" t="s">
        <v>931</v>
      </c>
      <c r="AZ236" s="59" t="s">
        <v>959</v>
      </c>
      <c r="BA236" s="56" t="s">
        <v>966</v>
      </c>
      <c r="BC236" s="28">
        <f>AW236+AX236</f>
        <v>0</v>
      </c>
      <c r="BD236" s="28">
        <f>J236/(100-BE236)*100</f>
        <v>0</v>
      </c>
      <c r="BE236" s="28">
        <v>0</v>
      </c>
      <c r="BF236" s="28">
        <f>236</f>
        <v>236</v>
      </c>
      <c r="BH236" s="60">
        <f>I236*AO236</f>
        <v>0</v>
      </c>
      <c r="BI236" s="60">
        <f>I236*AP236</f>
        <v>0</v>
      </c>
      <c r="BJ236" s="60">
        <f>I236*J236</f>
        <v>0</v>
      </c>
      <c r="BK236" s="60" t="s">
        <v>971</v>
      </c>
      <c r="BL236" s="28">
        <v>722</v>
      </c>
    </row>
    <row r="237" spans="1:64" x14ac:dyDescent="0.25">
      <c r="A237" s="17"/>
      <c r="C237" s="148" t="s">
        <v>652</v>
      </c>
      <c r="D237" s="149"/>
      <c r="E237" s="149"/>
      <c r="F237" s="149"/>
      <c r="G237" s="149"/>
      <c r="I237" s="77">
        <v>16</v>
      </c>
      <c r="L237" s="14"/>
      <c r="M237" s="17"/>
    </row>
    <row r="238" spans="1:64" x14ac:dyDescent="0.25">
      <c r="A238" s="35" t="s">
        <v>150</v>
      </c>
      <c r="B238" s="43" t="s">
        <v>335</v>
      </c>
      <c r="C238" s="159" t="s">
        <v>661</v>
      </c>
      <c r="D238" s="160"/>
      <c r="E238" s="160"/>
      <c r="F238" s="160"/>
      <c r="G238" s="160"/>
      <c r="H238" s="43" t="s">
        <v>895</v>
      </c>
      <c r="I238" s="78">
        <v>16.48</v>
      </c>
      <c r="J238" s="61">
        <v>0</v>
      </c>
      <c r="K238" s="61">
        <f>I238*J238</f>
        <v>0</v>
      </c>
      <c r="L238" s="54" t="s">
        <v>906</v>
      </c>
      <c r="M238" s="17"/>
      <c r="Z238" s="28">
        <f>IF(AQ238="5",BJ238,0)</f>
        <v>0</v>
      </c>
      <c r="AB238" s="28">
        <f>IF(AQ238="1",BH238,0)</f>
        <v>0</v>
      </c>
      <c r="AC238" s="28">
        <f>IF(AQ238="1",BI238,0)</f>
        <v>0</v>
      </c>
      <c r="AD238" s="28">
        <f>IF(AQ238="7",BH238,0)</f>
        <v>0</v>
      </c>
      <c r="AE238" s="28">
        <f>IF(AQ238="7",BI238,0)</f>
        <v>0</v>
      </c>
      <c r="AF238" s="28">
        <f>IF(AQ238="2",BH238,0)</f>
        <v>0</v>
      </c>
      <c r="AG238" s="28">
        <f>IF(AQ238="2",BI238,0)</f>
        <v>0</v>
      </c>
      <c r="AH238" s="28">
        <f>IF(AQ238="0",BJ238,0)</f>
        <v>0</v>
      </c>
      <c r="AI238" s="56" t="s">
        <v>72</v>
      </c>
      <c r="AJ238" s="61">
        <f>IF(AN238=0,K238,0)</f>
        <v>0</v>
      </c>
      <c r="AK238" s="61">
        <f>IF(AN238=15,K238,0)</f>
        <v>0</v>
      </c>
      <c r="AL238" s="61">
        <f>IF(AN238=21,K238,0)</f>
        <v>0</v>
      </c>
      <c r="AN238" s="28">
        <v>21</v>
      </c>
      <c r="AO238" s="28">
        <f>J238*1</f>
        <v>0</v>
      </c>
      <c r="AP238" s="28">
        <f>J238*(1-1)</f>
        <v>0</v>
      </c>
      <c r="AQ238" s="58" t="s">
        <v>88</v>
      </c>
      <c r="AV238" s="28">
        <f>AW238+AX238</f>
        <v>0</v>
      </c>
      <c r="AW238" s="28">
        <f>I238*AO238</f>
        <v>0</v>
      </c>
      <c r="AX238" s="28">
        <f>I238*AP238</f>
        <v>0</v>
      </c>
      <c r="AY238" s="59" t="s">
        <v>931</v>
      </c>
      <c r="AZ238" s="59" t="s">
        <v>959</v>
      </c>
      <c r="BA238" s="56" t="s">
        <v>966</v>
      </c>
      <c r="BC238" s="28">
        <f>AW238+AX238</f>
        <v>0</v>
      </c>
      <c r="BD238" s="28">
        <f>J238/(100-BE238)*100</f>
        <v>0</v>
      </c>
      <c r="BE238" s="28">
        <v>0</v>
      </c>
      <c r="BF238" s="28">
        <f>238</f>
        <v>238</v>
      </c>
      <c r="BH238" s="61">
        <f>I238*AO238</f>
        <v>0</v>
      </c>
      <c r="BI238" s="61">
        <f>I238*AP238</f>
        <v>0</v>
      </c>
      <c r="BJ238" s="61">
        <f>I238*J238</f>
        <v>0</v>
      </c>
      <c r="BK238" s="61" t="s">
        <v>972</v>
      </c>
      <c r="BL238" s="28">
        <v>722</v>
      </c>
    </row>
    <row r="239" spans="1:64" x14ac:dyDescent="0.25">
      <c r="A239" s="17"/>
      <c r="C239" s="148" t="s">
        <v>652</v>
      </c>
      <c r="D239" s="149"/>
      <c r="E239" s="149"/>
      <c r="F239" s="149"/>
      <c r="G239" s="149"/>
      <c r="I239" s="77">
        <v>16</v>
      </c>
      <c r="L239" s="14"/>
      <c r="M239" s="17"/>
    </row>
    <row r="240" spans="1:64" x14ac:dyDescent="0.25">
      <c r="A240" s="17"/>
      <c r="C240" s="148" t="s">
        <v>654</v>
      </c>
      <c r="D240" s="149"/>
      <c r="E240" s="149"/>
      <c r="F240" s="149"/>
      <c r="G240" s="149"/>
      <c r="I240" s="77">
        <v>0.48</v>
      </c>
      <c r="L240" s="14"/>
      <c r="M240" s="17"/>
    </row>
    <row r="241" spans="1:64" x14ac:dyDescent="0.25">
      <c r="A241" s="34" t="s">
        <v>151</v>
      </c>
      <c r="B241" s="41" t="s">
        <v>336</v>
      </c>
      <c r="C241" s="146" t="s">
        <v>662</v>
      </c>
      <c r="D241" s="147"/>
      <c r="E241" s="147"/>
      <c r="F241" s="147"/>
      <c r="G241" s="147"/>
      <c r="H241" s="41" t="s">
        <v>895</v>
      </c>
      <c r="I241" s="76">
        <v>83.7</v>
      </c>
      <c r="J241" s="60">
        <v>0</v>
      </c>
      <c r="K241" s="60">
        <f>I241*J241</f>
        <v>0</v>
      </c>
      <c r="L241" s="53" t="s">
        <v>906</v>
      </c>
      <c r="M241" s="17"/>
      <c r="Z241" s="28">
        <f>IF(AQ241="5",BJ241,0)</f>
        <v>0</v>
      </c>
      <c r="AB241" s="28">
        <f>IF(AQ241="1",BH241,0)</f>
        <v>0</v>
      </c>
      <c r="AC241" s="28">
        <f>IF(AQ241="1",BI241,0)</f>
        <v>0</v>
      </c>
      <c r="AD241" s="28">
        <f>IF(AQ241="7",BH241,0)</f>
        <v>0</v>
      </c>
      <c r="AE241" s="28">
        <f>IF(AQ241="7",BI241,0)</f>
        <v>0</v>
      </c>
      <c r="AF241" s="28">
        <f>IF(AQ241="2",BH241,0)</f>
        <v>0</v>
      </c>
      <c r="AG241" s="28">
        <f>IF(AQ241="2",BI241,0)</f>
        <v>0</v>
      </c>
      <c r="AH241" s="28">
        <f>IF(AQ241="0",BJ241,0)</f>
        <v>0</v>
      </c>
      <c r="AI241" s="56" t="s">
        <v>72</v>
      </c>
      <c r="AJ241" s="60">
        <f>IF(AN241=0,K241,0)</f>
        <v>0</v>
      </c>
      <c r="AK241" s="60">
        <f>IF(AN241=15,K241,0)</f>
        <v>0</v>
      </c>
      <c r="AL241" s="60">
        <f>IF(AN241=21,K241,0)</f>
        <v>0</v>
      </c>
      <c r="AN241" s="28">
        <v>21</v>
      </c>
      <c r="AO241" s="28">
        <f>J241*0.190299453395002</f>
        <v>0</v>
      </c>
      <c r="AP241" s="28">
        <f>J241*(1-0.190299453395002)</f>
        <v>0</v>
      </c>
      <c r="AQ241" s="57" t="s">
        <v>88</v>
      </c>
      <c r="AV241" s="28">
        <f>AW241+AX241</f>
        <v>0</v>
      </c>
      <c r="AW241" s="28">
        <f>I241*AO241</f>
        <v>0</v>
      </c>
      <c r="AX241" s="28">
        <f>I241*AP241</f>
        <v>0</v>
      </c>
      <c r="AY241" s="59" t="s">
        <v>931</v>
      </c>
      <c r="AZ241" s="59" t="s">
        <v>959</v>
      </c>
      <c r="BA241" s="56" t="s">
        <v>966</v>
      </c>
      <c r="BC241" s="28">
        <f>AW241+AX241</f>
        <v>0</v>
      </c>
      <c r="BD241" s="28">
        <f>J241/(100-BE241)*100</f>
        <v>0</v>
      </c>
      <c r="BE241" s="28">
        <v>0</v>
      </c>
      <c r="BF241" s="28">
        <f>241</f>
        <v>241</v>
      </c>
      <c r="BH241" s="60">
        <f>I241*AO241</f>
        <v>0</v>
      </c>
      <c r="BI241" s="60">
        <f>I241*AP241</f>
        <v>0</v>
      </c>
      <c r="BJ241" s="60">
        <f>I241*J241</f>
        <v>0</v>
      </c>
      <c r="BK241" s="60" t="s">
        <v>971</v>
      </c>
      <c r="BL241" s="28">
        <v>722</v>
      </c>
    </row>
    <row r="242" spans="1:64" x14ac:dyDescent="0.25">
      <c r="A242" s="17"/>
      <c r="C242" s="148" t="s">
        <v>663</v>
      </c>
      <c r="D242" s="149"/>
      <c r="E242" s="149"/>
      <c r="F242" s="149"/>
      <c r="G242" s="149"/>
      <c r="I242" s="77">
        <v>83.7</v>
      </c>
      <c r="L242" s="14"/>
      <c r="M242" s="17"/>
    </row>
    <row r="243" spans="1:64" x14ac:dyDescent="0.25">
      <c r="A243" s="34" t="s">
        <v>152</v>
      </c>
      <c r="B243" s="41" t="s">
        <v>337</v>
      </c>
      <c r="C243" s="146" t="s">
        <v>664</v>
      </c>
      <c r="D243" s="147"/>
      <c r="E243" s="147"/>
      <c r="F243" s="147"/>
      <c r="G243" s="147"/>
      <c r="H243" s="41" t="s">
        <v>893</v>
      </c>
      <c r="I243" s="76">
        <v>0.04</v>
      </c>
      <c r="J243" s="60">
        <v>0</v>
      </c>
      <c r="K243" s="60">
        <f>I243*J243</f>
        <v>0</v>
      </c>
      <c r="L243" s="53" t="s">
        <v>906</v>
      </c>
      <c r="M243" s="17"/>
      <c r="Z243" s="28">
        <f>IF(AQ243="5",BJ243,0)</f>
        <v>0</v>
      </c>
      <c r="AB243" s="28">
        <f>IF(AQ243="1",BH243,0)</f>
        <v>0</v>
      </c>
      <c r="AC243" s="28">
        <f>IF(AQ243="1",BI243,0)</f>
        <v>0</v>
      </c>
      <c r="AD243" s="28">
        <f>IF(AQ243="7",BH243,0)</f>
        <v>0</v>
      </c>
      <c r="AE243" s="28">
        <f>IF(AQ243="7",BI243,0)</f>
        <v>0</v>
      </c>
      <c r="AF243" s="28">
        <f>IF(AQ243="2",BH243,0)</f>
        <v>0</v>
      </c>
      <c r="AG243" s="28">
        <f>IF(AQ243="2",BI243,0)</f>
        <v>0</v>
      </c>
      <c r="AH243" s="28">
        <f>IF(AQ243="0",BJ243,0)</f>
        <v>0</v>
      </c>
      <c r="AI243" s="56" t="s">
        <v>72</v>
      </c>
      <c r="AJ243" s="60">
        <f>IF(AN243=0,K243,0)</f>
        <v>0</v>
      </c>
      <c r="AK243" s="60">
        <f>IF(AN243=15,K243,0)</f>
        <v>0</v>
      </c>
      <c r="AL243" s="60">
        <f>IF(AN243=21,K243,0)</f>
        <v>0</v>
      </c>
      <c r="AN243" s="28">
        <v>21</v>
      </c>
      <c r="AO243" s="28">
        <f>J243*0</f>
        <v>0</v>
      </c>
      <c r="AP243" s="28">
        <f>J243*(1-0)</f>
        <v>0</v>
      </c>
      <c r="AQ243" s="57" t="s">
        <v>86</v>
      </c>
      <c r="AV243" s="28">
        <f>AW243+AX243</f>
        <v>0</v>
      </c>
      <c r="AW243" s="28">
        <f>I243*AO243</f>
        <v>0</v>
      </c>
      <c r="AX243" s="28">
        <f>I243*AP243</f>
        <v>0</v>
      </c>
      <c r="AY243" s="59" t="s">
        <v>931</v>
      </c>
      <c r="AZ243" s="59" t="s">
        <v>959</v>
      </c>
      <c r="BA243" s="56" t="s">
        <v>966</v>
      </c>
      <c r="BC243" s="28">
        <f>AW243+AX243</f>
        <v>0</v>
      </c>
      <c r="BD243" s="28">
        <f>J243/(100-BE243)*100</f>
        <v>0</v>
      </c>
      <c r="BE243" s="28">
        <v>0</v>
      </c>
      <c r="BF243" s="28">
        <f>243</f>
        <v>243</v>
      </c>
      <c r="BH243" s="60">
        <f>I243*AO243</f>
        <v>0</v>
      </c>
      <c r="BI243" s="60">
        <f>I243*AP243</f>
        <v>0</v>
      </c>
      <c r="BJ243" s="60">
        <f>I243*J243</f>
        <v>0</v>
      </c>
      <c r="BK243" s="60" t="s">
        <v>971</v>
      </c>
      <c r="BL243" s="28">
        <v>722</v>
      </c>
    </row>
    <row r="244" spans="1:64" x14ac:dyDescent="0.25">
      <c r="A244" s="33"/>
      <c r="B244" s="40" t="s">
        <v>338</v>
      </c>
      <c r="C244" s="144" t="s">
        <v>665</v>
      </c>
      <c r="D244" s="145"/>
      <c r="E244" s="145"/>
      <c r="F244" s="145"/>
      <c r="G244" s="145"/>
      <c r="H244" s="46" t="s">
        <v>58</v>
      </c>
      <c r="I244" s="46" t="s">
        <v>58</v>
      </c>
      <c r="J244" s="46" t="s">
        <v>58</v>
      </c>
      <c r="K244" s="65">
        <f>SUM(K245:K258)</f>
        <v>0</v>
      </c>
      <c r="L244" s="52"/>
      <c r="M244" s="17"/>
      <c r="AI244" s="56" t="s">
        <v>72</v>
      </c>
      <c r="AS244" s="65">
        <f>SUM(AJ245:AJ258)</f>
        <v>0</v>
      </c>
      <c r="AT244" s="65">
        <f>SUM(AK245:AK258)</f>
        <v>0</v>
      </c>
      <c r="AU244" s="65">
        <f>SUM(AL245:AL258)</f>
        <v>0</v>
      </c>
    </row>
    <row r="245" spans="1:64" x14ac:dyDescent="0.25">
      <c r="A245" s="34" t="s">
        <v>153</v>
      </c>
      <c r="B245" s="41" t="s">
        <v>339</v>
      </c>
      <c r="C245" s="146" t="s">
        <v>666</v>
      </c>
      <c r="D245" s="147"/>
      <c r="E245" s="147"/>
      <c r="F245" s="147"/>
      <c r="G245" s="147"/>
      <c r="H245" s="41" t="s">
        <v>896</v>
      </c>
      <c r="I245" s="76">
        <v>3</v>
      </c>
      <c r="J245" s="60">
        <v>0</v>
      </c>
      <c r="K245" s="60">
        <f>I245*J245</f>
        <v>0</v>
      </c>
      <c r="L245" s="53" t="s">
        <v>906</v>
      </c>
      <c r="M245" s="17"/>
      <c r="Z245" s="28">
        <f>IF(AQ245="5",BJ245,0)</f>
        <v>0</v>
      </c>
      <c r="AB245" s="28">
        <f>IF(AQ245="1",BH245,0)</f>
        <v>0</v>
      </c>
      <c r="AC245" s="28">
        <f>IF(AQ245="1",BI245,0)</f>
        <v>0</v>
      </c>
      <c r="AD245" s="28">
        <f>IF(AQ245="7",BH245,0)</f>
        <v>0</v>
      </c>
      <c r="AE245" s="28">
        <f>IF(AQ245="7",BI245,0)</f>
        <v>0</v>
      </c>
      <c r="AF245" s="28">
        <f>IF(AQ245="2",BH245,0)</f>
        <v>0</v>
      </c>
      <c r="AG245" s="28">
        <f>IF(AQ245="2",BI245,0)</f>
        <v>0</v>
      </c>
      <c r="AH245" s="28">
        <f>IF(AQ245="0",BJ245,0)</f>
        <v>0</v>
      </c>
      <c r="AI245" s="56" t="s">
        <v>72</v>
      </c>
      <c r="AJ245" s="60">
        <f>IF(AN245=0,K245,0)</f>
        <v>0</v>
      </c>
      <c r="AK245" s="60">
        <f>IF(AN245=15,K245,0)</f>
        <v>0</v>
      </c>
      <c r="AL245" s="60">
        <f>IF(AN245=21,K245,0)</f>
        <v>0</v>
      </c>
      <c r="AN245" s="28">
        <v>21</v>
      </c>
      <c r="AO245" s="28">
        <f>J245*0.22315445026178</f>
        <v>0</v>
      </c>
      <c r="AP245" s="28">
        <f>J245*(1-0.22315445026178)</f>
        <v>0</v>
      </c>
      <c r="AQ245" s="57" t="s">
        <v>88</v>
      </c>
      <c r="AV245" s="28">
        <f>AW245+AX245</f>
        <v>0</v>
      </c>
      <c r="AW245" s="28">
        <f>I245*AO245</f>
        <v>0</v>
      </c>
      <c r="AX245" s="28">
        <f>I245*AP245</f>
        <v>0</v>
      </c>
      <c r="AY245" s="59" t="s">
        <v>932</v>
      </c>
      <c r="AZ245" s="59" t="s">
        <v>959</v>
      </c>
      <c r="BA245" s="56" t="s">
        <v>966</v>
      </c>
      <c r="BC245" s="28">
        <f>AW245+AX245</f>
        <v>0</v>
      </c>
      <c r="BD245" s="28">
        <f>J245/(100-BE245)*100</f>
        <v>0</v>
      </c>
      <c r="BE245" s="28">
        <v>0</v>
      </c>
      <c r="BF245" s="28">
        <f>245</f>
        <v>245</v>
      </c>
      <c r="BH245" s="60">
        <f>I245*AO245</f>
        <v>0</v>
      </c>
      <c r="BI245" s="60">
        <f>I245*AP245</f>
        <v>0</v>
      </c>
      <c r="BJ245" s="60">
        <f>I245*J245</f>
        <v>0</v>
      </c>
      <c r="BK245" s="60" t="s">
        <v>971</v>
      </c>
      <c r="BL245" s="28">
        <v>725</v>
      </c>
    </row>
    <row r="246" spans="1:64" x14ac:dyDescent="0.25">
      <c r="A246" s="17"/>
      <c r="C246" s="148" t="s">
        <v>667</v>
      </c>
      <c r="D246" s="149"/>
      <c r="E246" s="149"/>
      <c r="F246" s="149"/>
      <c r="G246" s="149"/>
      <c r="I246" s="77">
        <v>3</v>
      </c>
      <c r="L246" s="14"/>
      <c r="M246" s="17"/>
    </row>
    <row r="247" spans="1:64" x14ac:dyDescent="0.25">
      <c r="A247" s="34" t="s">
        <v>154</v>
      </c>
      <c r="B247" s="41" t="s">
        <v>340</v>
      </c>
      <c r="C247" s="146" t="s">
        <v>668</v>
      </c>
      <c r="D247" s="147"/>
      <c r="E247" s="147"/>
      <c r="F247" s="147"/>
      <c r="G247" s="147"/>
      <c r="H247" s="41" t="s">
        <v>897</v>
      </c>
      <c r="I247" s="76">
        <v>3</v>
      </c>
      <c r="J247" s="60">
        <v>0</v>
      </c>
      <c r="K247" s="60">
        <f>I247*J247</f>
        <v>0</v>
      </c>
      <c r="L247" s="53" t="s">
        <v>906</v>
      </c>
      <c r="M247" s="17"/>
      <c r="Z247" s="28">
        <f>IF(AQ247="5",BJ247,0)</f>
        <v>0</v>
      </c>
      <c r="AB247" s="28">
        <f>IF(AQ247="1",BH247,0)</f>
        <v>0</v>
      </c>
      <c r="AC247" s="28">
        <f>IF(AQ247="1",BI247,0)</f>
        <v>0</v>
      </c>
      <c r="AD247" s="28">
        <f>IF(AQ247="7",BH247,0)</f>
        <v>0</v>
      </c>
      <c r="AE247" s="28">
        <f>IF(AQ247="7",BI247,0)</f>
        <v>0</v>
      </c>
      <c r="AF247" s="28">
        <f>IF(AQ247="2",BH247,0)</f>
        <v>0</v>
      </c>
      <c r="AG247" s="28">
        <f>IF(AQ247="2",BI247,0)</f>
        <v>0</v>
      </c>
      <c r="AH247" s="28">
        <f>IF(AQ247="0",BJ247,0)</f>
        <v>0</v>
      </c>
      <c r="AI247" s="56" t="s">
        <v>72</v>
      </c>
      <c r="AJ247" s="60">
        <f>IF(AN247=0,K247,0)</f>
        <v>0</v>
      </c>
      <c r="AK247" s="60">
        <f>IF(AN247=15,K247,0)</f>
        <v>0</v>
      </c>
      <c r="AL247" s="60">
        <f>IF(AN247=21,K247,0)</f>
        <v>0</v>
      </c>
      <c r="AN247" s="28">
        <v>21</v>
      </c>
      <c r="AO247" s="28">
        <f>J247*1</f>
        <v>0</v>
      </c>
      <c r="AP247" s="28">
        <f>J247*(1-1)</f>
        <v>0</v>
      </c>
      <c r="AQ247" s="57" t="s">
        <v>88</v>
      </c>
      <c r="AV247" s="28">
        <f>AW247+AX247</f>
        <v>0</v>
      </c>
      <c r="AW247" s="28">
        <f>I247*AO247</f>
        <v>0</v>
      </c>
      <c r="AX247" s="28">
        <f>I247*AP247</f>
        <v>0</v>
      </c>
      <c r="AY247" s="59" t="s">
        <v>932</v>
      </c>
      <c r="AZ247" s="59" t="s">
        <v>959</v>
      </c>
      <c r="BA247" s="56" t="s">
        <v>966</v>
      </c>
      <c r="BC247" s="28">
        <f>AW247+AX247</f>
        <v>0</v>
      </c>
      <c r="BD247" s="28">
        <f>J247/(100-BE247)*100</f>
        <v>0</v>
      </c>
      <c r="BE247" s="28">
        <v>0</v>
      </c>
      <c r="BF247" s="28">
        <f>247</f>
        <v>247</v>
      </c>
      <c r="BH247" s="60">
        <f>I247*AO247</f>
        <v>0</v>
      </c>
      <c r="BI247" s="60">
        <f>I247*AP247</f>
        <v>0</v>
      </c>
      <c r="BJ247" s="60">
        <f>I247*J247</f>
        <v>0</v>
      </c>
      <c r="BK247" s="60" t="s">
        <v>971</v>
      </c>
      <c r="BL247" s="28">
        <v>725</v>
      </c>
    </row>
    <row r="248" spans="1:64" x14ac:dyDescent="0.25">
      <c r="A248" s="17"/>
      <c r="C248" s="148" t="s">
        <v>669</v>
      </c>
      <c r="D248" s="149"/>
      <c r="E248" s="149"/>
      <c r="F248" s="149"/>
      <c r="G248" s="149"/>
      <c r="I248" s="77">
        <v>2</v>
      </c>
      <c r="L248" s="14"/>
      <c r="M248" s="17"/>
    </row>
    <row r="249" spans="1:64" x14ac:dyDescent="0.25">
      <c r="A249" s="17"/>
      <c r="C249" s="148" t="s">
        <v>670</v>
      </c>
      <c r="D249" s="149"/>
      <c r="E249" s="149"/>
      <c r="F249" s="149"/>
      <c r="G249" s="149"/>
      <c r="I249" s="77">
        <v>1</v>
      </c>
      <c r="L249" s="14"/>
      <c r="M249" s="17"/>
    </row>
    <row r="250" spans="1:64" x14ac:dyDescent="0.25">
      <c r="A250" s="34" t="s">
        <v>155</v>
      </c>
      <c r="B250" s="41" t="s">
        <v>341</v>
      </c>
      <c r="C250" s="146" t="s">
        <v>671</v>
      </c>
      <c r="D250" s="147"/>
      <c r="E250" s="147"/>
      <c r="F250" s="147"/>
      <c r="G250" s="147"/>
      <c r="H250" s="41" t="s">
        <v>896</v>
      </c>
      <c r="I250" s="76">
        <v>3</v>
      </c>
      <c r="J250" s="60">
        <v>0</v>
      </c>
      <c r="K250" s="60">
        <f t="shared" ref="K250:K258" si="0">I250*J250</f>
        <v>0</v>
      </c>
      <c r="L250" s="53" t="s">
        <v>906</v>
      </c>
      <c r="M250" s="17"/>
      <c r="Z250" s="28">
        <f t="shared" ref="Z250:Z258" si="1">IF(AQ250="5",BJ250,0)</f>
        <v>0</v>
      </c>
      <c r="AB250" s="28">
        <f t="shared" ref="AB250:AB258" si="2">IF(AQ250="1",BH250,0)</f>
        <v>0</v>
      </c>
      <c r="AC250" s="28">
        <f t="shared" ref="AC250:AC258" si="3">IF(AQ250="1",BI250,0)</f>
        <v>0</v>
      </c>
      <c r="AD250" s="28">
        <f t="shared" ref="AD250:AD258" si="4">IF(AQ250="7",BH250,0)</f>
        <v>0</v>
      </c>
      <c r="AE250" s="28">
        <f t="shared" ref="AE250:AE258" si="5">IF(AQ250="7",BI250,0)</f>
        <v>0</v>
      </c>
      <c r="AF250" s="28">
        <f t="shared" ref="AF250:AF258" si="6">IF(AQ250="2",BH250,0)</f>
        <v>0</v>
      </c>
      <c r="AG250" s="28">
        <f t="shared" ref="AG250:AG258" si="7">IF(AQ250="2",BI250,0)</f>
        <v>0</v>
      </c>
      <c r="AH250" s="28">
        <f t="shared" ref="AH250:AH258" si="8">IF(AQ250="0",BJ250,0)</f>
        <v>0</v>
      </c>
      <c r="AI250" s="56" t="s">
        <v>72</v>
      </c>
      <c r="AJ250" s="60">
        <f t="shared" ref="AJ250:AJ258" si="9">IF(AN250=0,K250,0)</f>
        <v>0</v>
      </c>
      <c r="AK250" s="60">
        <f t="shared" ref="AK250:AK258" si="10">IF(AN250=15,K250,0)</f>
        <v>0</v>
      </c>
      <c r="AL250" s="60">
        <f t="shared" ref="AL250:AL258" si="11">IF(AN250=21,K250,0)</f>
        <v>0</v>
      </c>
      <c r="AN250" s="28">
        <v>21</v>
      </c>
      <c r="AO250" s="28">
        <f>J250*0.878585179526356</f>
        <v>0</v>
      </c>
      <c r="AP250" s="28">
        <f>J250*(1-0.878585179526356)</f>
        <v>0</v>
      </c>
      <c r="AQ250" s="57" t="s">
        <v>88</v>
      </c>
      <c r="AV250" s="28">
        <f t="shared" ref="AV250:AV258" si="12">AW250+AX250</f>
        <v>0</v>
      </c>
      <c r="AW250" s="28">
        <f t="shared" ref="AW250:AW258" si="13">I250*AO250</f>
        <v>0</v>
      </c>
      <c r="AX250" s="28">
        <f t="shared" ref="AX250:AX258" si="14">I250*AP250</f>
        <v>0</v>
      </c>
      <c r="AY250" s="59" t="s">
        <v>932</v>
      </c>
      <c r="AZ250" s="59" t="s">
        <v>959</v>
      </c>
      <c r="BA250" s="56" t="s">
        <v>966</v>
      </c>
      <c r="BC250" s="28">
        <f t="shared" ref="BC250:BC258" si="15">AW250+AX250</f>
        <v>0</v>
      </c>
      <c r="BD250" s="28">
        <f t="shared" ref="BD250:BD258" si="16">J250/(100-BE250)*100</f>
        <v>0</v>
      </c>
      <c r="BE250" s="28">
        <v>0</v>
      </c>
      <c r="BF250" s="28">
        <f>250</f>
        <v>250</v>
      </c>
      <c r="BH250" s="60">
        <f t="shared" ref="BH250:BH258" si="17">I250*AO250</f>
        <v>0</v>
      </c>
      <c r="BI250" s="60">
        <f t="shared" ref="BI250:BI258" si="18">I250*AP250</f>
        <v>0</v>
      </c>
      <c r="BJ250" s="60">
        <f t="shared" ref="BJ250:BJ258" si="19">I250*J250</f>
        <v>0</v>
      </c>
      <c r="BK250" s="60" t="s">
        <v>971</v>
      </c>
      <c r="BL250" s="28">
        <v>725</v>
      </c>
    </row>
    <row r="251" spans="1:64" x14ac:dyDescent="0.25">
      <c r="A251" s="34" t="s">
        <v>156</v>
      </c>
      <c r="B251" s="41" t="s">
        <v>342</v>
      </c>
      <c r="C251" s="146" t="s">
        <v>672</v>
      </c>
      <c r="D251" s="147"/>
      <c r="E251" s="147"/>
      <c r="F251" s="147"/>
      <c r="G251" s="147"/>
      <c r="H251" s="41" t="s">
        <v>896</v>
      </c>
      <c r="I251" s="76">
        <v>5</v>
      </c>
      <c r="J251" s="60">
        <v>0</v>
      </c>
      <c r="K251" s="60">
        <f t="shared" si="0"/>
        <v>0</v>
      </c>
      <c r="L251" s="53" t="s">
        <v>906</v>
      </c>
      <c r="M251" s="17"/>
      <c r="Z251" s="28">
        <f t="shared" si="1"/>
        <v>0</v>
      </c>
      <c r="AB251" s="28">
        <f t="shared" si="2"/>
        <v>0</v>
      </c>
      <c r="AC251" s="28">
        <f t="shared" si="3"/>
        <v>0</v>
      </c>
      <c r="AD251" s="28">
        <f t="shared" si="4"/>
        <v>0</v>
      </c>
      <c r="AE251" s="28">
        <f t="shared" si="5"/>
        <v>0</v>
      </c>
      <c r="AF251" s="28">
        <f t="shared" si="6"/>
        <v>0</v>
      </c>
      <c r="AG251" s="28">
        <f t="shared" si="7"/>
        <v>0</v>
      </c>
      <c r="AH251" s="28">
        <f t="shared" si="8"/>
        <v>0</v>
      </c>
      <c r="AI251" s="56" t="s">
        <v>72</v>
      </c>
      <c r="AJ251" s="60">
        <f t="shared" si="9"/>
        <v>0</v>
      </c>
      <c r="AK251" s="60">
        <f t="shared" si="10"/>
        <v>0</v>
      </c>
      <c r="AL251" s="60">
        <f t="shared" si="11"/>
        <v>0</v>
      </c>
      <c r="AN251" s="28">
        <v>21</v>
      </c>
      <c r="AO251" s="28">
        <f>J251*0.395619425173439</f>
        <v>0</v>
      </c>
      <c r="AP251" s="28">
        <f>J251*(1-0.395619425173439)</f>
        <v>0</v>
      </c>
      <c r="AQ251" s="57" t="s">
        <v>88</v>
      </c>
      <c r="AV251" s="28">
        <f t="shared" si="12"/>
        <v>0</v>
      </c>
      <c r="AW251" s="28">
        <f t="shared" si="13"/>
        <v>0</v>
      </c>
      <c r="AX251" s="28">
        <f t="shared" si="14"/>
        <v>0</v>
      </c>
      <c r="AY251" s="59" t="s">
        <v>932</v>
      </c>
      <c r="AZ251" s="59" t="s">
        <v>959</v>
      </c>
      <c r="BA251" s="56" t="s">
        <v>966</v>
      </c>
      <c r="BC251" s="28">
        <f t="shared" si="15"/>
        <v>0</v>
      </c>
      <c r="BD251" s="28">
        <f t="shared" si="16"/>
        <v>0</v>
      </c>
      <c r="BE251" s="28">
        <v>0</v>
      </c>
      <c r="BF251" s="28">
        <f>251</f>
        <v>251</v>
      </c>
      <c r="BH251" s="60">
        <f t="shared" si="17"/>
        <v>0</v>
      </c>
      <c r="BI251" s="60">
        <f t="shared" si="18"/>
        <v>0</v>
      </c>
      <c r="BJ251" s="60">
        <f t="shared" si="19"/>
        <v>0</v>
      </c>
      <c r="BK251" s="60" t="s">
        <v>971</v>
      </c>
      <c r="BL251" s="28">
        <v>725</v>
      </c>
    </row>
    <row r="252" spans="1:64" x14ac:dyDescent="0.25">
      <c r="A252" s="34" t="s">
        <v>157</v>
      </c>
      <c r="B252" s="41" t="s">
        <v>343</v>
      </c>
      <c r="C252" s="146" t="s">
        <v>673</v>
      </c>
      <c r="D252" s="147"/>
      <c r="E252" s="147"/>
      <c r="F252" s="147"/>
      <c r="G252" s="147"/>
      <c r="H252" s="41" t="s">
        <v>896</v>
      </c>
      <c r="I252" s="76">
        <v>5</v>
      </c>
      <c r="J252" s="60">
        <v>0</v>
      </c>
      <c r="K252" s="60">
        <f t="shared" si="0"/>
        <v>0</v>
      </c>
      <c r="L252" s="53" t="s">
        <v>906</v>
      </c>
      <c r="M252" s="17"/>
      <c r="Z252" s="28">
        <f t="shared" si="1"/>
        <v>0</v>
      </c>
      <c r="AB252" s="28">
        <f t="shared" si="2"/>
        <v>0</v>
      </c>
      <c r="AC252" s="28">
        <f t="shared" si="3"/>
        <v>0</v>
      </c>
      <c r="AD252" s="28">
        <f t="shared" si="4"/>
        <v>0</v>
      </c>
      <c r="AE252" s="28">
        <f t="shared" si="5"/>
        <v>0</v>
      </c>
      <c r="AF252" s="28">
        <f t="shared" si="6"/>
        <v>0</v>
      </c>
      <c r="AG252" s="28">
        <f t="shared" si="7"/>
        <v>0</v>
      </c>
      <c r="AH252" s="28">
        <f t="shared" si="8"/>
        <v>0</v>
      </c>
      <c r="AI252" s="56" t="s">
        <v>72</v>
      </c>
      <c r="AJ252" s="60">
        <f t="shared" si="9"/>
        <v>0</v>
      </c>
      <c r="AK252" s="60">
        <f t="shared" si="10"/>
        <v>0</v>
      </c>
      <c r="AL252" s="60">
        <f t="shared" si="11"/>
        <v>0</v>
      </c>
      <c r="AN252" s="28">
        <v>21</v>
      </c>
      <c r="AO252" s="28">
        <f>J252*0.718170022371365</f>
        <v>0</v>
      </c>
      <c r="AP252" s="28">
        <f>J252*(1-0.718170022371365)</f>
        <v>0</v>
      </c>
      <c r="AQ252" s="57" t="s">
        <v>88</v>
      </c>
      <c r="AV252" s="28">
        <f t="shared" si="12"/>
        <v>0</v>
      </c>
      <c r="AW252" s="28">
        <f t="shared" si="13"/>
        <v>0</v>
      </c>
      <c r="AX252" s="28">
        <f t="shared" si="14"/>
        <v>0</v>
      </c>
      <c r="AY252" s="59" t="s">
        <v>932</v>
      </c>
      <c r="AZ252" s="59" t="s">
        <v>959</v>
      </c>
      <c r="BA252" s="56" t="s">
        <v>966</v>
      </c>
      <c r="BC252" s="28">
        <f t="shared" si="15"/>
        <v>0</v>
      </c>
      <c r="BD252" s="28">
        <f t="shared" si="16"/>
        <v>0</v>
      </c>
      <c r="BE252" s="28">
        <v>0</v>
      </c>
      <c r="BF252" s="28">
        <f>252</f>
        <v>252</v>
      </c>
      <c r="BH252" s="60">
        <f t="shared" si="17"/>
        <v>0</v>
      </c>
      <c r="BI252" s="60">
        <f t="shared" si="18"/>
        <v>0</v>
      </c>
      <c r="BJ252" s="60">
        <f t="shared" si="19"/>
        <v>0</v>
      </c>
      <c r="BK252" s="60" t="s">
        <v>971</v>
      </c>
      <c r="BL252" s="28">
        <v>725</v>
      </c>
    </row>
    <row r="253" spans="1:64" x14ac:dyDescent="0.25">
      <c r="A253" s="34" t="s">
        <v>158</v>
      </c>
      <c r="B253" s="41" t="s">
        <v>344</v>
      </c>
      <c r="C253" s="146" t="s">
        <v>674</v>
      </c>
      <c r="D253" s="147"/>
      <c r="E253" s="147"/>
      <c r="F253" s="147"/>
      <c r="G253" s="147"/>
      <c r="H253" s="41" t="s">
        <v>896</v>
      </c>
      <c r="I253" s="76">
        <v>3</v>
      </c>
      <c r="J253" s="60">
        <v>0</v>
      </c>
      <c r="K253" s="60">
        <f t="shared" si="0"/>
        <v>0</v>
      </c>
      <c r="L253" s="53" t="s">
        <v>906</v>
      </c>
      <c r="M253" s="17"/>
      <c r="Z253" s="28">
        <f t="shared" si="1"/>
        <v>0</v>
      </c>
      <c r="AB253" s="28">
        <f t="shared" si="2"/>
        <v>0</v>
      </c>
      <c r="AC253" s="28">
        <f t="shared" si="3"/>
        <v>0</v>
      </c>
      <c r="AD253" s="28">
        <f t="shared" si="4"/>
        <v>0</v>
      </c>
      <c r="AE253" s="28">
        <f t="shared" si="5"/>
        <v>0</v>
      </c>
      <c r="AF253" s="28">
        <f t="shared" si="6"/>
        <v>0</v>
      </c>
      <c r="AG253" s="28">
        <f t="shared" si="7"/>
        <v>0</v>
      </c>
      <c r="AH253" s="28">
        <f t="shared" si="8"/>
        <v>0</v>
      </c>
      <c r="AI253" s="56" t="s">
        <v>72</v>
      </c>
      <c r="AJ253" s="60">
        <f t="shared" si="9"/>
        <v>0</v>
      </c>
      <c r="AK253" s="60">
        <f t="shared" si="10"/>
        <v>0</v>
      </c>
      <c r="AL253" s="60">
        <f t="shared" si="11"/>
        <v>0</v>
      </c>
      <c r="AN253" s="28">
        <v>21</v>
      </c>
      <c r="AO253" s="28">
        <f>J253*0.691570141570142</f>
        <v>0</v>
      </c>
      <c r="AP253" s="28">
        <f>J253*(1-0.691570141570142)</f>
        <v>0</v>
      </c>
      <c r="AQ253" s="57" t="s">
        <v>88</v>
      </c>
      <c r="AV253" s="28">
        <f t="shared" si="12"/>
        <v>0</v>
      </c>
      <c r="AW253" s="28">
        <f t="shared" si="13"/>
        <v>0</v>
      </c>
      <c r="AX253" s="28">
        <f t="shared" si="14"/>
        <v>0</v>
      </c>
      <c r="AY253" s="59" t="s">
        <v>932</v>
      </c>
      <c r="AZ253" s="59" t="s">
        <v>959</v>
      </c>
      <c r="BA253" s="56" t="s">
        <v>966</v>
      </c>
      <c r="BC253" s="28">
        <f t="shared" si="15"/>
        <v>0</v>
      </c>
      <c r="BD253" s="28">
        <f t="shared" si="16"/>
        <v>0</v>
      </c>
      <c r="BE253" s="28">
        <v>0</v>
      </c>
      <c r="BF253" s="28">
        <f>253</f>
        <v>253</v>
      </c>
      <c r="BH253" s="60">
        <f t="shared" si="17"/>
        <v>0</v>
      </c>
      <c r="BI253" s="60">
        <f t="shared" si="18"/>
        <v>0</v>
      </c>
      <c r="BJ253" s="60">
        <f t="shared" si="19"/>
        <v>0</v>
      </c>
      <c r="BK253" s="60" t="s">
        <v>971</v>
      </c>
      <c r="BL253" s="28">
        <v>725</v>
      </c>
    </row>
    <row r="254" spans="1:64" x14ac:dyDescent="0.25">
      <c r="A254" s="34" t="s">
        <v>159</v>
      </c>
      <c r="B254" s="41" t="s">
        <v>345</v>
      </c>
      <c r="C254" s="146" t="s">
        <v>675</v>
      </c>
      <c r="D254" s="147"/>
      <c r="E254" s="147"/>
      <c r="F254" s="147"/>
      <c r="G254" s="147"/>
      <c r="H254" s="41" t="s">
        <v>896</v>
      </c>
      <c r="I254" s="76">
        <v>3</v>
      </c>
      <c r="J254" s="60">
        <v>0</v>
      </c>
      <c r="K254" s="60">
        <f t="shared" si="0"/>
        <v>0</v>
      </c>
      <c r="L254" s="53" t="s">
        <v>906</v>
      </c>
      <c r="M254" s="17"/>
      <c r="Z254" s="28">
        <f t="shared" si="1"/>
        <v>0</v>
      </c>
      <c r="AB254" s="28">
        <f t="shared" si="2"/>
        <v>0</v>
      </c>
      <c r="AC254" s="28">
        <f t="shared" si="3"/>
        <v>0</v>
      </c>
      <c r="AD254" s="28">
        <f t="shared" si="4"/>
        <v>0</v>
      </c>
      <c r="AE254" s="28">
        <f t="shared" si="5"/>
        <v>0</v>
      </c>
      <c r="AF254" s="28">
        <f t="shared" si="6"/>
        <v>0</v>
      </c>
      <c r="AG254" s="28">
        <f t="shared" si="7"/>
        <v>0</v>
      </c>
      <c r="AH254" s="28">
        <f t="shared" si="8"/>
        <v>0</v>
      </c>
      <c r="AI254" s="56" t="s">
        <v>72</v>
      </c>
      <c r="AJ254" s="60">
        <f t="shared" si="9"/>
        <v>0</v>
      </c>
      <c r="AK254" s="60">
        <f t="shared" si="10"/>
        <v>0</v>
      </c>
      <c r="AL254" s="60">
        <f t="shared" si="11"/>
        <v>0</v>
      </c>
      <c r="AN254" s="28">
        <v>21</v>
      </c>
      <c r="AO254" s="28">
        <f>J254*0.172269736842105</f>
        <v>0</v>
      </c>
      <c r="AP254" s="28">
        <f>J254*(1-0.172269736842105)</f>
        <v>0</v>
      </c>
      <c r="AQ254" s="57" t="s">
        <v>88</v>
      </c>
      <c r="AV254" s="28">
        <f t="shared" si="12"/>
        <v>0</v>
      </c>
      <c r="AW254" s="28">
        <f t="shared" si="13"/>
        <v>0</v>
      </c>
      <c r="AX254" s="28">
        <f t="shared" si="14"/>
        <v>0</v>
      </c>
      <c r="AY254" s="59" t="s">
        <v>932</v>
      </c>
      <c r="AZ254" s="59" t="s">
        <v>959</v>
      </c>
      <c r="BA254" s="56" t="s">
        <v>966</v>
      </c>
      <c r="BC254" s="28">
        <f t="shared" si="15"/>
        <v>0</v>
      </c>
      <c r="BD254" s="28">
        <f t="shared" si="16"/>
        <v>0</v>
      </c>
      <c r="BE254" s="28">
        <v>0</v>
      </c>
      <c r="BF254" s="28">
        <f>254</f>
        <v>254</v>
      </c>
      <c r="BH254" s="60">
        <f t="shared" si="17"/>
        <v>0</v>
      </c>
      <c r="BI254" s="60">
        <f t="shared" si="18"/>
        <v>0</v>
      </c>
      <c r="BJ254" s="60">
        <f t="shared" si="19"/>
        <v>0</v>
      </c>
      <c r="BK254" s="60" t="s">
        <v>971</v>
      </c>
      <c r="BL254" s="28">
        <v>725</v>
      </c>
    </row>
    <row r="255" spans="1:64" x14ac:dyDescent="0.25">
      <c r="A255" s="34" t="s">
        <v>160</v>
      </c>
      <c r="B255" s="41" t="s">
        <v>346</v>
      </c>
      <c r="C255" s="146" t="s">
        <v>676</v>
      </c>
      <c r="D255" s="147"/>
      <c r="E255" s="147"/>
      <c r="F255" s="147"/>
      <c r="G255" s="147"/>
      <c r="H255" s="41" t="s">
        <v>894</v>
      </c>
      <c r="I255" s="76">
        <v>5</v>
      </c>
      <c r="J255" s="60">
        <v>0</v>
      </c>
      <c r="K255" s="60">
        <f t="shared" si="0"/>
        <v>0</v>
      </c>
      <c r="L255" s="53" t="s">
        <v>906</v>
      </c>
      <c r="M255" s="17"/>
      <c r="Z255" s="28">
        <f t="shared" si="1"/>
        <v>0</v>
      </c>
      <c r="AB255" s="28">
        <f t="shared" si="2"/>
        <v>0</v>
      </c>
      <c r="AC255" s="28">
        <f t="shared" si="3"/>
        <v>0</v>
      </c>
      <c r="AD255" s="28">
        <f t="shared" si="4"/>
        <v>0</v>
      </c>
      <c r="AE255" s="28">
        <f t="shared" si="5"/>
        <v>0</v>
      </c>
      <c r="AF255" s="28">
        <f t="shared" si="6"/>
        <v>0</v>
      </c>
      <c r="AG255" s="28">
        <f t="shared" si="7"/>
        <v>0</v>
      </c>
      <c r="AH255" s="28">
        <f t="shared" si="8"/>
        <v>0</v>
      </c>
      <c r="AI255" s="56" t="s">
        <v>72</v>
      </c>
      <c r="AJ255" s="60">
        <f t="shared" si="9"/>
        <v>0</v>
      </c>
      <c r="AK255" s="60">
        <f t="shared" si="10"/>
        <v>0</v>
      </c>
      <c r="AL255" s="60">
        <f t="shared" si="11"/>
        <v>0</v>
      </c>
      <c r="AN255" s="28">
        <v>21</v>
      </c>
      <c r="AO255" s="28">
        <f>J255*0.0267415730337079</f>
        <v>0</v>
      </c>
      <c r="AP255" s="28">
        <f>J255*(1-0.0267415730337079)</f>
        <v>0</v>
      </c>
      <c r="AQ255" s="57" t="s">
        <v>88</v>
      </c>
      <c r="AV255" s="28">
        <f t="shared" si="12"/>
        <v>0</v>
      </c>
      <c r="AW255" s="28">
        <f t="shared" si="13"/>
        <v>0</v>
      </c>
      <c r="AX255" s="28">
        <f t="shared" si="14"/>
        <v>0</v>
      </c>
      <c r="AY255" s="59" t="s">
        <v>932</v>
      </c>
      <c r="AZ255" s="59" t="s">
        <v>959</v>
      </c>
      <c r="BA255" s="56" t="s">
        <v>966</v>
      </c>
      <c r="BC255" s="28">
        <f t="shared" si="15"/>
        <v>0</v>
      </c>
      <c r="BD255" s="28">
        <f t="shared" si="16"/>
        <v>0</v>
      </c>
      <c r="BE255" s="28">
        <v>0</v>
      </c>
      <c r="BF255" s="28">
        <f>255</f>
        <v>255</v>
      </c>
      <c r="BH255" s="60">
        <f t="shared" si="17"/>
        <v>0</v>
      </c>
      <c r="BI255" s="60">
        <f t="shared" si="18"/>
        <v>0</v>
      </c>
      <c r="BJ255" s="60">
        <f t="shared" si="19"/>
        <v>0</v>
      </c>
      <c r="BK255" s="60" t="s">
        <v>971</v>
      </c>
      <c r="BL255" s="28">
        <v>725</v>
      </c>
    </row>
    <row r="256" spans="1:64" x14ac:dyDescent="0.25">
      <c r="A256" s="34" t="s">
        <v>161</v>
      </c>
      <c r="B256" s="41" t="s">
        <v>347</v>
      </c>
      <c r="C256" s="146" t="s">
        <v>677</v>
      </c>
      <c r="D256" s="147"/>
      <c r="E256" s="147"/>
      <c r="F256" s="147"/>
      <c r="G256" s="147"/>
      <c r="H256" s="41" t="s">
        <v>894</v>
      </c>
      <c r="I256" s="76">
        <v>2</v>
      </c>
      <c r="J256" s="60">
        <v>0</v>
      </c>
      <c r="K256" s="60">
        <f t="shared" si="0"/>
        <v>0</v>
      </c>
      <c r="L256" s="53" t="s">
        <v>906</v>
      </c>
      <c r="M256" s="17"/>
      <c r="Z256" s="28">
        <f t="shared" si="1"/>
        <v>0</v>
      </c>
      <c r="AB256" s="28">
        <f t="shared" si="2"/>
        <v>0</v>
      </c>
      <c r="AC256" s="28">
        <f t="shared" si="3"/>
        <v>0</v>
      </c>
      <c r="AD256" s="28">
        <f t="shared" si="4"/>
        <v>0</v>
      </c>
      <c r="AE256" s="28">
        <f t="shared" si="5"/>
        <v>0</v>
      </c>
      <c r="AF256" s="28">
        <f t="shared" si="6"/>
        <v>0</v>
      </c>
      <c r="AG256" s="28">
        <f t="shared" si="7"/>
        <v>0</v>
      </c>
      <c r="AH256" s="28">
        <f t="shared" si="8"/>
        <v>0</v>
      </c>
      <c r="AI256" s="56" t="s">
        <v>72</v>
      </c>
      <c r="AJ256" s="60">
        <f t="shared" si="9"/>
        <v>0</v>
      </c>
      <c r="AK256" s="60">
        <f t="shared" si="10"/>
        <v>0</v>
      </c>
      <c r="AL256" s="60">
        <f t="shared" si="11"/>
        <v>0</v>
      </c>
      <c r="AN256" s="28">
        <v>21</v>
      </c>
      <c r="AO256" s="28">
        <f>J256*0.160344370860927</f>
        <v>0</v>
      </c>
      <c r="AP256" s="28">
        <f>J256*(1-0.160344370860927)</f>
        <v>0</v>
      </c>
      <c r="AQ256" s="57" t="s">
        <v>88</v>
      </c>
      <c r="AV256" s="28">
        <f t="shared" si="12"/>
        <v>0</v>
      </c>
      <c r="AW256" s="28">
        <f t="shared" si="13"/>
        <v>0</v>
      </c>
      <c r="AX256" s="28">
        <f t="shared" si="14"/>
        <v>0</v>
      </c>
      <c r="AY256" s="59" t="s">
        <v>932</v>
      </c>
      <c r="AZ256" s="59" t="s">
        <v>959</v>
      </c>
      <c r="BA256" s="56" t="s">
        <v>966</v>
      </c>
      <c r="BC256" s="28">
        <f t="shared" si="15"/>
        <v>0</v>
      </c>
      <c r="BD256" s="28">
        <f t="shared" si="16"/>
        <v>0</v>
      </c>
      <c r="BE256" s="28">
        <v>0</v>
      </c>
      <c r="BF256" s="28">
        <f>256</f>
        <v>256</v>
      </c>
      <c r="BH256" s="60">
        <f t="shared" si="17"/>
        <v>0</v>
      </c>
      <c r="BI256" s="60">
        <f t="shared" si="18"/>
        <v>0</v>
      </c>
      <c r="BJ256" s="60">
        <f t="shared" si="19"/>
        <v>0</v>
      </c>
      <c r="BK256" s="60" t="s">
        <v>971</v>
      </c>
      <c r="BL256" s="28">
        <v>725</v>
      </c>
    </row>
    <row r="257" spans="1:64" x14ac:dyDescent="0.25">
      <c r="A257" s="34" t="s">
        <v>162</v>
      </c>
      <c r="B257" s="41" t="s">
        <v>348</v>
      </c>
      <c r="C257" s="146" t="s">
        <v>678</v>
      </c>
      <c r="D257" s="147"/>
      <c r="E257" s="147"/>
      <c r="F257" s="147"/>
      <c r="G257" s="147"/>
      <c r="H257" s="41" t="s">
        <v>894</v>
      </c>
      <c r="I257" s="76">
        <v>2</v>
      </c>
      <c r="J257" s="60">
        <v>0</v>
      </c>
      <c r="K257" s="60">
        <f t="shared" si="0"/>
        <v>0</v>
      </c>
      <c r="L257" s="53" t="s">
        <v>906</v>
      </c>
      <c r="M257" s="17"/>
      <c r="Z257" s="28">
        <f t="shared" si="1"/>
        <v>0</v>
      </c>
      <c r="AB257" s="28">
        <f t="shared" si="2"/>
        <v>0</v>
      </c>
      <c r="AC257" s="28">
        <f t="shared" si="3"/>
        <v>0</v>
      </c>
      <c r="AD257" s="28">
        <f t="shared" si="4"/>
        <v>0</v>
      </c>
      <c r="AE257" s="28">
        <f t="shared" si="5"/>
        <v>0</v>
      </c>
      <c r="AF257" s="28">
        <f t="shared" si="6"/>
        <v>0</v>
      </c>
      <c r="AG257" s="28">
        <f t="shared" si="7"/>
        <v>0</v>
      </c>
      <c r="AH257" s="28">
        <f t="shared" si="8"/>
        <v>0</v>
      </c>
      <c r="AI257" s="56" t="s">
        <v>72</v>
      </c>
      <c r="AJ257" s="60">
        <f t="shared" si="9"/>
        <v>0</v>
      </c>
      <c r="AK257" s="60">
        <f t="shared" si="10"/>
        <v>0</v>
      </c>
      <c r="AL257" s="60">
        <f t="shared" si="11"/>
        <v>0</v>
      </c>
      <c r="AN257" s="28">
        <v>21</v>
      </c>
      <c r="AO257" s="28">
        <f>J257*0.841187236039418</f>
        <v>0</v>
      </c>
      <c r="AP257" s="28">
        <f>J257*(1-0.841187236039418)</f>
        <v>0</v>
      </c>
      <c r="AQ257" s="57" t="s">
        <v>88</v>
      </c>
      <c r="AV257" s="28">
        <f t="shared" si="12"/>
        <v>0</v>
      </c>
      <c r="AW257" s="28">
        <f t="shared" si="13"/>
        <v>0</v>
      </c>
      <c r="AX257" s="28">
        <f t="shared" si="14"/>
        <v>0</v>
      </c>
      <c r="AY257" s="59" t="s">
        <v>932</v>
      </c>
      <c r="AZ257" s="59" t="s">
        <v>959</v>
      </c>
      <c r="BA257" s="56" t="s">
        <v>966</v>
      </c>
      <c r="BC257" s="28">
        <f t="shared" si="15"/>
        <v>0</v>
      </c>
      <c r="BD257" s="28">
        <f t="shared" si="16"/>
        <v>0</v>
      </c>
      <c r="BE257" s="28">
        <v>0</v>
      </c>
      <c r="BF257" s="28">
        <f>257</f>
        <v>257</v>
      </c>
      <c r="BH257" s="60">
        <f t="shared" si="17"/>
        <v>0</v>
      </c>
      <c r="BI257" s="60">
        <f t="shared" si="18"/>
        <v>0</v>
      </c>
      <c r="BJ257" s="60">
        <f t="shared" si="19"/>
        <v>0</v>
      </c>
      <c r="BK257" s="60" t="s">
        <v>971</v>
      </c>
      <c r="BL257" s="28">
        <v>725</v>
      </c>
    </row>
    <row r="258" spans="1:64" x14ac:dyDescent="0.25">
      <c r="A258" s="34" t="s">
        <v>163</v>
      </c>
      <c r="B258" s="41" t="s">
        <v>349</v>
      </c>
      <c r="C258" s="146" t="s">
        <v>679</v>
      </c>
      <c r="D258" s="147"/>
      <c r="E258" s="147"/>
      <c r="F258" s="147"/>
      <c r="G258" s="147"/>
      <c r="H258" s="41" t="s">
        <v>894</v>
      </c>
      <c r="I258" s="76">
        <v>5</v>
      </c>
      <c r="J258" s="60">
        <v>0</v>
      </c>
      <c r="K258" s="60">
        <f t="shared" si="0"/>
        <v>0</v>
      </c>
      <c r="L258" s="53" t="s">
        <v>906</v>
      </c>
      <c r="M258" s="17"/>
      <c r="Z258" s="28">
        <f t="shared" si="1"/>
        <v>0</v>
      </c>
      <c r="AB258" s="28">
        <f t="shared" si="2"/>
        <v>0</v>
      </c>
      <c r="AC258" s="28">
        <f t="shared" si="3"/>
        <v>0</v>
      </c>
      <c r="AD258" s="28">
        <f t="shared" si="4"/>
        <v>0</v>
      </c>
      <c r="AE258" s="28">
        <f t="shared" si="5"/>
        <v>0</v>
      </c>
      <c r="AF258" s="28">
        <f t="shared" si="6"/>
        <v>0</v>
      </c>
      <c r="AG258" s="28">
        <f t="shared" si="7"/>
        <v>0</v>
      </c>
      <c r="AH258" s="28">
        <f t="shared" si="8"/>
        <v>0</v>
      </c>
      <c r="AI258" s="56" t="s">
        <v>72</v>
      </c>
      <c r="AJ258" s="60">
        <f t="shared" si="9"/>
        <v>0</v>
      </c>
      <c r="AK258" s="60">
        <f t="shared" si="10"/>
        <v>0</v>
      </c>
      <c r="AL258" s="60">
        <f t="shared" si="11"/>
        <v>0</v>
      </c>
      <c r="AN258" s="28">
        <v>21</v>
      </c>
      <c r="AO258" s="28">
        <f>J258*0.481645021645022</f>
        <v>0</v>
      </c>
      <c r="AP258" s="28">
        <f>J258*(1-0.481645021645022)</f>
        <v>0</v>
      </c>
      <c r="AQ258" s="57" t="s">
        <v>88</v>
      </c>
      <c r="AV258" s="28">
        <f t="shared" si="12"/>
        <v>0</v>
      </c>
      <c r="AW258" s="28">
        <f t="shared" si="13"/>
        <v>0</v>
      </c>
      <c r="AX258" s="28">
        <f t="shared" si="14"/>
        <v>0</v>
      </c>
      <c r="AY258" s="59" t="s">
        <v>932</v>
      </c>
      <c r="AZ258" s="59" t="s">
        <v>959</v>
      </c>
      <c r="BA258" s="56" t="s">
        <v>966</v>
      </c>
      <c r="BC258" s="28">
        <f t="shared" si="15"/>
        <v>0</v>
      </c>
      <c r="BD258" s="28">
        <f t="shared" si="16"/>
        <v>0</v>
      </c>
      <c r="BE258" s="28">
        <v>0</v>
      </c>
      <c r="BF258" s="28">
        <f>258</f>
        <v>258</v>
      </c>
      <c r="BH258" s="60">
        <f t="shared" si="17"/>
        <v>0</v>
      </c>
      <c r="BI258" s="60">
        <f t="shared" si="18"/>
        <v>0</v>
      </c>
      <c r="BJ258" s="60">
        <f t="shared" si="19"/>
        <v>0</v>
      </c>
      <c r="BK258" s="60" t="s">
        <v>971</v>
      </c>
      <c r="BL258" s="28">
        <v>725</v>
      </c>
    </row>
    <row r="259" spans="1:64" x14ac:dyDescent="0.25">
      <c r="A259" s="33"/>
      <c r="B259" s="40" t="s">
        <v>350</v>
      </c>
      <c r="C259" s="144" t="s">
        <v>680</v>
      </c>
      <c r="D259" s="145"/>
      <c r="E259" s="145"/>
      <c r="F259" s="145"/>
      <c r="G259" s="145"/>
      <c r="H259" s="46" t="s">
        <v>58</v>
      </c>
      <c r="I259" s="46" t="s">
        <v>58</v>
      </c>
      <c r="J259" s="46" t="s">
        <v>58</v>
      </c>
      <c r="K259" s="65">
        <f>SUM(K260:K262)</f>
        <v>0</v>
      </c>
      <c r="L259" s="52"/>
      <c r="M259" s="17"/>
      <c r="AI259" s="56" t="s">
        <v>72</v>
      </c>
      <c r="AS259" s="65">
        <f>SUM(AJ260:AJ262)</f>
        <v>0</v>
      </c>
      <c r="AT259" s="65">
        <f>SUM(AK260:AK262)</f>
        <v>0</v>
      </c>
      <c r="AU259" s="65">
        <f>SUM(AL260:AL262)</f>
        <v>0</v>
      </c>
    </row>
    <row r="260" spans="1:64" x14ac:dyDescent="0.25">
      <c r="A260" s="34" t="s">
        <v>164</v>
      </c>
      <c r="B260" s="41" t="s">
        <v>351</v>
      </c>
      <c r="C260" s="146" t="s">
        <v>681</v>
      </c>
      <c r="D260" s="147"/>
      <c r="E260" s="147"/>
      <c r="F260" s="147"/>
      <c r="G260" s="147"/>
      <c r="H260" s="41" t="s">
        <v>896</v>
      </c>
      <c r="I260" s="76">
        <v>1</v>
      </c>
      <c r="J260" s="60">
        <v>0</v>
      </c>
      <c r="K260" s="60">
        <f>I260*J260</f>
        <v>0</v>
      </c>
      <c r="L260" s="53" t="s">
        <v>906</v>
      </c>
      <c r="M260" s="17"/>
      <c r="Z260" s="28">
        <f>IF(AQ260="5",BJ260,0)</f>
        <v>0</v>
      </c>
      <c r="AB260" s="28">
        <f>IF(AQ260="1",BH260,0)</f>
        <v>0</v>
      </c>
      <c r="AC260" s="28">
        <f>IF(AQ260="1",BI260,0)</f>
        <v>0</v>
      </c>
      <c r="AD260" s="28">
        <f>IF(AQ260="7",BH260,0)</f>
        <v>0</v>
      </c>
      <c r="AE260" s="28">
        <f>IF(AQ260="7",BI260,0)</f>
        <v>0</v>
      </c>
      <c r="AF260" s="28">
        <f>IF(AQ260="2",BH260,0)</f>
        <v>0</v>
      </c>
      <c r="AG260" s="28">
        <f>IF(AQ260="2",BI260,0)</f>
        <v>0</v>
      </c>
      <c r="AH260" s="28">
        <f>IF(AQ260="0",BJ260,0)</f>
        <v>0</v>
      </c>
      <c r="AI260" s="56" t="s">
        <v>72</v>
      </c>
      <c r="AJ260" s="60">
        <f>IF(AN260=0,K260,0)</f>
        <v>0</v>
      </c>
      <c r="AK260" s="60">
        <f>IF(AN260=15,K260,0)</f>
        <v>0</v>
      </c>
      <c r="AL260" s="60">
        <f>IF(AN260=21,K260,0)</f>
        <v>0</v>
      </c>
      <c r="AN260" s="28">
        <v>21</v>
      </c>
      <c r="AO260" s="28">
        <f>J260*0.013412204234122</f>
        <v>0</v>
      </c>
      <c r="AP260" s="28">
        <f>J260*(1-0.013412204234122)</f>
        <v>0</v>
      </c>
      <c r="AQ260" s="57" t="s">
        <v>88</v>
      </c>
      <c r="AV260" s="28">
        <f>AW260+AX260</f>
        <v>0</v>
      </c>
      <c r="AW260" s="28">
        <f>I260*AO260</f>
        <v>0</v>
      </c>
      <c r="AX260" s="28">
        <f>I260*AP260</f>
        <v>0</v>
      </c>
      <c r="AY260" s="59" t="s">
        <v>933</v>
      </c>
      <c r="AZ260" s="59" t="s">
        <v>960</v>
      </c>
      <c r="BA260" s="56" t="s">
        <v>966</v>
      </c>
      <c r="BC260" s="28">
        <f>AW260+AX260</f>
        <v>0</v>
      </c>
      <c r="BD260" s="28">
        <f>J260/(100-BE260)*100</f>
        <v>0</v>
      </c>
      <c r="BE260" s="28">
        <v>0</v>
      </c>
      <c r="BF260" s="28">
        <f>260</f>
        <v>260</v>
      </c>
      <c r="BH260" s="60">
        <f>I260*AO260</f>
        <v>0</v>
      </c>
      <c r="BI260" s="60">
        <f>I260*AP260</f>
        <v>0</v>
      </c>
      <c r="BJ260" s="60">
        <f>I260*J260</f>
        <v>0</v>
      </c>
      <c r="BK260" s="60" t="s">
        <v>971</v>
      </c>
      <c r="BL260" s="28">
        <v>731</v>
      </c>
    </row>
    <row r="261" spans="1:64" x14ac:dyDescent="0.25">
      <c r="A261" s="17"/>
      <c r="C261" s="148" t="s">
        <v>627</v>
      </c>
      <c r="D261" s="149"/>
      <c r="E261" s="149"/>
      <c r="F261" s="149"/>
      <c r="G261" s="149"/>
      <c r="I261" s="77">
        <v>1</v>
      </c>
      <c r="L261" s="14"/>
      <c r="M261" s="17"/>
    </row>
    <row r="262" spans="1:64" x14ac:dyDescent="0.25">
      <c r="A262" s="34" t="s">
        <v>165</v>
      </c>
      <c r="B262" s="41" t="s">
        <v>352</v>
      </c>
      <c r="C262" s="146" t="s">
        <v>682</v>
      </c>
      <c r="D262" s="147"/>
      <c r="E262" s="147"/>
      <c r="F262" s="147"/>
      <c r="G262" s="147"/>
      <c r="H262" s="41" t="s">
        <v>897</v>
      </c>
      <c r="I262" s="76">
        <v>1</v>
      </c>
      <c r="J262" s="60">
        <v>0</v>
      </c>
      <c r="K262" s="60">
        <f>I262*J262</f>
        <v>0</v>
      </c>
      <c r="L262" s="53" t="s">
        <v>906</v>
      </c>
      <c r="M262" s="17"/>
      <c r="Z262" s="28">
        <f>IF(AQ262="5",BJ262,0)</f>
        <v>0</v>
      </c>
      <c r="AB262" s="28">
        <f>IF(AQ262="1",BH262,0)</f>
        <v>0</v>
      </c>
      <c r="AC262" s="28">
        <f>IF(AQ262="1",BI262,0)</f>
        <v>0</v>
      </c>
      <c r="AD262" s="28">
        <f>IF(AQ262="7",BH262,0)</f>
        <v>0</v>
      </c>
      <c r="AE262" s="28">
        <f>IF(AQ262="7",BI262,0)</f>
        <v>0</v>
      </c>
      <c r="AF262" s="28">
        <f>IF(AQ262="2",BH262,0)</f>
        <v>0</v>
      </c>
      <c r="AG262" s="28">
        <f>IF(AQ262="2",BI262,0)</f>
        <v>0</v>
      </c>
      <c r="AH262" s="28">
        <f>IF(AQ262="0",BJ262,0)</f>
        <v>0</v>
      </c>
      <c r="AI262" s="56" t="s">
        <v>72</v>
      </c>
      <c r="AJ262" s="60">
        <f>IF(AN262=0,K262,0)</f>
        <v>0</v>
      </c>
      <c r="AK262" s="60">
        <f>IF(AN262=15,K262,0)</f>
        <v>0</v>
      </c>
      <c r="AL262" s="60">
        <f>IF(AN262=21,K262,0)</f>
        <v>0</v>
      </c>
      <c r="AN262" s="28">
        <v>21</v>
      </c>
      <c r="AO262" s="28">
        <f>J262*1</f>
        <v>0</v>
      </c>
      <c r="AP262" s="28">
        <f>J262*(1-1)</f>
        <v>0</v>
      </c>
      <c r="AQ262" s="57" t="s">
        <v>88</v>
      </c>
      <c r="AV262" s="28">
        <f>AW262+AX262</f>
        <v>0</v>
      </c>
      <c r="AW262" s="28">
        <f>I262*AO262</f>
        <v>0</v>
      </c>
      <c r="AX262" s="28">
        <f>I262*AP262</f>
        <v>0</v>
      </c>
      <c r="AY262" s="59" t="s">
        <v>933</v>
      </c>
      <c r="AZ262" s="59" t="s">
        <v>960</v>
      </c>
      <c r="BA262" s="56" t="s">
        <v>966</v>
      </c>
      <c r="BC262" s="28">
        <f>AW262+AX262</f>
        <v>0</v>
      </c>
      <c r="BD262" s="28">
        <f>J262/(100-BE262)*100</f>
        <v>0</v>
      </c>
      <c r="BE262" s="28">
        <v>0</v>
      </c>
      <c r="BF262" s="28">
        <f>262</f>
        <v>262</v>
      </c>
      <c r="BH262" s="60">
        <f>I262*AO262</f>
        <v>0</v>
      </c>
      <c r="BI262" s="60">
        <f>I262*AP262</f>
        <v>0</v>
      </c>
      <c r="BJ262" s="60">
        <f>I262*J262</f>
        <v>0</v>
      </c>
      <c r="BK262" s="60" t="s">
        <v>971</v>
      </c>
      <c r="BL262" s="28">
        <v>731</v>
      </c>
    </row>
    <row r="263" spans="1:64" x14ac:dyDescent="0.25">
      <c r="A263" s="33"/>
      <c r="B263" s="40" t="s">
        <v>353</v>
      </c>
      <c r="C263" s="144" t="s">
        <v>683</v>
      </c>
      <c r="D263" s="145"/>
      <c r="E263" s="145"/>
      <c r="F263" s="145"/>
      <c r="G263" s="145"/>
      <c r="H263" s="46" t="s">
        <v>58</v>
      </c>
      <c r="I263" s="46" t="s">
        <v>58</v>
      </c>
      <c r="J263" s="46" t="s">
        <v>58</v>
      </c>
      <c r="K263" s="65">
        <f>SUM(K264:K289)</f>
        <v>0</v>
      </c>
      <c r="L263" s="52"/>
      <c r="M263" s="17"/>
      <c r="AI263" s="56" t="s">
        <v>72</v>
      </c>
      <c r="AS263" s="65">
        <f>SUM(AJ264:AJ289)</f>
        <v>0</v>
      </c>
      <c r="AT263" s="65">
        <f>SUM(AK264:AK289)</f>
        <v>0</v>
      </c>
      <c r="AU263" s="65">
        <f>SUM(AL264:AL289)</f>
        <v>0</v>
      </c>
    </row>
    <row r="264" spans="1:64" x14ac:dyDescent="0.25">
      <c r="A264" s="34" t="s">
        <v>166</v>
      </c>
      <c r="B264" s="41" t="s">
        <v>354</v>
      </c>
      <c r="C264" s="146" t="s">
        <v>684</v>
      </c>
      <c r="D264" s="147"/>
      <c r="E264" s="147"/>
      <c r="F264" s="147"/>
      <c r="G264" s="147"/>
      <c r="H264" s="41" t="s">
        <v>895</v>
      </c>
      <c r="I264" s="76">
        <v>44.5</v>
      </c>
      <c r="J264" s="60">
        <v>0</v>
      </c>
      <c r="K264" s="60">
        <f>I264*J264</f>
        <v>0</v>
      </c>
      <c r="L264" s="53" t="s">
        <v>906</v>
      </c>
      <c r="M264" s="17"/>
      <c r="Z264" s="28">
        <f>IF(AQ264="5",BJ264,0)</f>
        <v>0</v>
      </c>
      <c r="AB264" s="28">
        <f>IF(AQ264="1",BH264,0)</f>
        <v>0</v>
      </c>
      <c r="AC264" s="28">
        <f>IF(AQ264="1",BI264,0)</f>
        <v>0</v>
      </c>
      <c r="AD264" s="28">
        <f>IF(AQ264="7",BH264,0)</f>
        <v>0</v>
      </c>
      <c r="AE264" s="28">
        <f>IF(AQ264="7",BI264,0)</f>
        <v>0</v>
      </c>
      <c r="AF264" s="28">
        <f>IF(AQ264="2",BH264,0)</f>
        <v>0</v>
      </c>
      <c r="AG264" s="28">
        <f>IF(AQ264="2",BI264,0)</f>
        <v>0</v>
      </c>
      <c r="AH264" s="28">
        <f>IF(AQ264="0",BJ264,0)</f>
        <v>0</v>
      </c>
      <c r="AI264" s="56" t="s">
        <v>72</v>
      </c>
      <c r="AJ264" s="60">
        <f>IF(AN264=0,K264,0)</f>
        <v>0</v>
      </c>
      <c r="AK264" s="60">
        <f>IF(AN264=15,K264,0)</f>
        <v>0</v>
      </c>
      <c r="AL264" s="60">
        <f>IF(AN264=21,K264,0)</f>
        <v>0</v>
      </c>
      <c r="AN264" s="28">
        <v>21</v>
      </c>
      <c r="AO264" s="28">
        <f>J264*0.0853887399463807</f>
        <v>0</v>
      </c>
      <c r="AP264" s="28">
        <f>J264*(1-0.0853887399463807)</f>
        <v>0</v>
      </c>
      <c r="AQ264" s="57" t="s">
        <v>88</v>
      </c>
      <c r="AV264" s="28">
        <f>AW264+AX264</f>
        <v>0</v>
      </c>
      <c r="AW264" s="28">
        <f>I264*AO264</f>
        <v>0</v>
      </c>
      <c r="AX264" s="28">
        <f>I264*AP264</f>
        <v>0</v>
      </c>
      <c r="AY264" s="59" t="s">
        <v>934</v>
      </c>
      <c r="AZ264" s="59" t="s">
        <v>960</v>
      </c>
      <c r="BA264" s="56" t="s">
        <v>966</v>
      </c>
      <c r="BC264" s="28">
        <f>AW264+AX264</f>
        <v>0</v>
      </c>
      <c r="BD264" s="28">
        <f>J264/(100-BE264)*100</f>
        <v>0</v>
      </c>
      <c r="BE264" s="28">
        <v>0</v>
      </c>
      <c r="BF264" s="28">
        <f>264</f>
        <v>264</v>
      </c>
      <c r="BH264" s="60">
        <f>I264*AO264</f>
        <v>0</v>
      </c>
      <c r="BI264" s="60">
        <f>I264*AP264</f>
        <v>0</v>
      </c>
      <c r="BJ264" s="60">
        <f>I264*J264</f>
        <v>0</v>
      </c>
      <c r="BK264" s="60" t="s">
        <v>971</v>
      </c>
      <c r="BL264" s="28">
        <v>733</v>
      </c>
    </row>
    <row r="265" spans="1:64" x14ac:dyDescent="0.25">
      <c r="A265" s="17"/>
      <c r="C265" s="148" t="s">
        <v>685</v>
      </c>
      <c r="D265" s="149"/>
      <c r="E265" s="149"/>
      <c r="F265" s="149"/>
      <c r="G265" s="149"/>
      <c r="I265" s="77">
        <v>44.5</v>
      </c>
      <c r="L265" s="14"/>
      <c r="M265" s="17"/>
    </row>
    <row r="266" spans="1:64" x14ac:dyDescent="0.25">
      <c r="A266" s="35" t="s">
        <v>167</v>
      </c>
      <c r="B266" s="43" t="s">
        <v>355</v>
      </c>
      <c r="C266" s="159" t="s">
        <v>686</v>
      </c>
      <c r="D266" s="160"/>
      <c r="E266" s="160"/>
      <c r="F266" s="160"/>
      <c r="G266" s="160"/>
      <c r="H266" s="43" t="s">
        <v>895</v>
      </c>
      <c r="I266" s="78">
        <v>45.835000000000001</v>
      </c>
      <c r="J266" s="61">
        <v>0</v>
      </c>
      <c r="K266" s="61">
        <f>I266*J266</f>
        <v>0</v>
      </c>
      <c r="L266" s="54" t="s">
        <v>906</v>
      </c>
      <c r="M266" s="17"/>
      <c r="Z266" s="28">
        <f>IF(AQ266="5",BJ266,0)</f>
        <v>0</v>
      </c>
      <c r="AB266" s="28">
        <f>IF(AQ266="1",BH266,0)</f>
        <v>0</v>
      </c>
      <c r="AC266" s="28">
        <f>IF(AQ266="1",BI266,0)</f>
        <v>0</v>
      </c>
      <c r="AD266" s="28">
        <f>IF(AQ266="7",BH266,0)</f>
        <v>0</v>
      </c>
      <c r="AE266" s="28">
        <f>IF(AQ266="7",BI266,0)</f>
        <v>0</v>
      </c>
      <c r="AF266" s="28">
        <f>IF(AQ266="2",BH266,0)</f>
        <v>0</v>
      </c>
      <c r="AG266" s="28">
        <f>IF(AQ266="2",BI266,0)</f>
        <v>0</v>
      </c>
      <c r="AH266" s="28">
        <f>IF(AQ266="0",BJ266,0)</f>
        <v>0</v>
      </c>
      <c r="AI266" s="56" t="s">
        <v>72</v>
      </c>
      <c r="AJ266" s="61">
        <f>IF(AN266=0,K266,0)</f>
        <v>0</v>
      </c>
      <c r="AK266" s="61">
        <f>IF(AN266=15,K266,0)</f>
        <v>0</v>
      </c>
      <c r="AL266" s="61">
        <f>IF(AN266=21,K266,0)</f>
        <v>0</v>
      </c>
      <c r="AN266" s="28">
        <v>21</v>
      </c>
      <c r="AO266" s="28">
        <f>J266*1</f>
        <v>0</v>
      </c>
      <c r="AP266" s="28">
        <f>J266*(1-1)</f>
        <v>0</v>
      </c>
      <c r="AQ266" s="58" t="s">
        <v>88</v>
      </c>
      <c r="AV266" s="28">
        <f>AW266+AX266</f>
        <v>0</v>
      </c>
      <c r="AW266" s="28">
        <f>I266*AO266</f>
        <v>0</v>
      </c>
      <c r="AX266" s="28">
        <f>I266*AP266</f>
        <v>0</v>
      </c>
      <c r="AY266" s="59" t="s">
        <v>934</v>
      </c>
      <c r="AZ266" s="59" t="s">
        <v>960</v>
      </c>
      <c r="BA266" s="56" t="s">
        <v>966</v>
      </c>
      <c r="BC266" s="28">
        <f>AW266+AX266</f>
        <v>0</v>
      </c>
      <c r="BD266" s="28">
        <f>J266/(100-BE266)*100</f>
        <v>0</v>
      </c>
      <c r="BE266" s="28">
        <v>0</v>
      </c>
      <c r="BF266" s="28">
        <f>266</f>
        <v>266</v>
      </c>
      <c r="BH266" s="61">
        <f>I266*AO266</f>
        <v>0</v>
      </c>
      <c r="BI266" s="61">
        <f>I266*AP266</f>
        <v>0</v>
      </c>
      <c r="BJ266" s="61">
        <f>I266*J266</f>
        <v>0</v>
      </c>
      <c r="BK266" s="61" t="s">
        <v>972</v>
      </c>
      <c r="BL266" s="28">
        <v>733</v>
      </c>
    </row>
    <row r="267" spans="1:64" x14ac:dyDescent="0.25">
      <c r="A267" s="17"/>
      <c r="C267" s="148" t="s">
        <v>685</v>
      </c>
      <c r="D267" s="149"/>
      <c r="E267" s="149"/>
      <c r="F267" s="149"/>
      <c r="G267" s="149"/>
      <c r="I267" s="77">
        <v>44.5</v>
      </c>
      <c r="L267" s="14"/>
      <c r="M267" s="17"/>
    </row>
    <row r="268" spans="1:64" x14ac:dyDescent="0.25">
      <c r="A268" s="17"/>
      <c r="C268" s="148" t="s">
        <v>687</v>
      </c>
      <c r="D268" s="149"/>
      <c r="E268" s="149"/>
      <c r="F268" s="149"/>
      <c r="G268" s="149"/>
      <c r="I268" s="77">
        <v>1.335</v>
      </c>
      <c r="L268" s="14"/>
      <c r="M268" s="17"/>
    </row>
    <row r="269" spans="1:64" x14ac:dyDescent="0.25">
      <c r="A269" s="34" t="s">
        <v>168</v>
      </c>
      <c r="B269" s="41" t="s">
        <v>356</v>
      </c>
      <c r="C269" s="146" t="s">
        <v>688</v>
      </c>
      <c r="D269" s="147"/>
      <c r="E269" s="147"/>
      <c r="F269" s="147"/>
      <c r="G269" s="147"/>
      <c r="H269" s="41" t="s">
        <v>895</v>
      </c>
      <c r="I269" s="76">
        <v>40.5</v>
      </c>
      <c r="J269" s="60">
        <v>0</v>
      </c>
      <c r="K269" s="60">
        <f>I269*J269</f>
        <v>0</v>
      </c>
      <c r="L269" s="53" t="s">
        <v>906</v>
      </c>
      <c r="M269" s="17"/>
      <c r="Z269" s="28">
        <f>IF(AQ269="5",BJ269,0)</f>
        <v>0</v>
      </c>
      <c r="AB269" s="28">
        <f>IF(AQ269="1",BH269,0)</f>
        <v>0</v>
      </c>
      <c r="AC269" s="28">
        <f>IF(AQ269="1",BI269,0)</f>
        <v>0</v>
      </c>
      <c r="AD269" s="28">
        <f>IF(AQ269="7",BH269,0)</f>
        <v>0</v>
      </c>
      <c r="AE269" s="28">
        <f>IF(AQ269="7",BI269,0)</f>
        <v>0</v>
      </c>
      <c r="AF269" s="28">
        <f>IF(AQ269="2",BH269,0)</f>
        <v>0</v>
      </c>
      <c r="AG269" s="28">
        <f>IF(AQ269="2",BI269,0)</f>
        <v>0</v>
      </c>
      <c r="AH269" s="28">
        <f>IF(AQ269="0",BJ269,0)</f>
        <v>0</v>
      </c>
      <c r="AI269" s="56" t="s">
        <v>72</v>
      </c>
      <c r="AJ269" s="60">
        <f>IF(AN269=0,K269,0)</f>
        <v>0</v>
      </c>
      <c r="AK269" s="60">
        <f>IF(AN269=15,K269,0)</f>
        <v>0</v>
      </c>
      <c r="AL269" s="60">
        <f>IF(AN269=21,K269,0)</f>
        <v>0</v>
      </c>
      <c r="AN269" s="28">
        <v>21</v>
      </c>
      <c r="AO269" s="28">
        <f>J269*0.08125</f>
        <v>0</v>
      </c>
      <c r="AP269" s="28">
        <f>J269*(1-0.08125)</f>
        <v>0</v>
      </c>
      <c r="AQ269" s="57" t="s">
        <v>88</v>
      </c>
      <c r="AV269" s="28">
        <f>AW269+AX269</f>
        <v>0</v>
      </c>
      <c r="AW269" s="28">
        <f>I269*AO269</f>
        <v>0</v>
      </c>
      <c r="AX269" s="28">
        <f>I269*AP269</f>
        <v>0</v>
      </c>
      <c r="AY269" s="59" t="s">
        <v>934</v>
      </c>
      <c r="AZ269" s="59" t="s">
        <v>960</v>
      </c>
      <c r="BA269" s="56" t="s">
        <v>966</v>
      </c>
      <c r="BC269" s="28">
        <f>AW269+AX269</f>
        <v>0</v>
      </c>
      <c r="BD269" s="28">
        <f>J269/(100-BE269)*100</f>
        <v>0</v>
      </c>
      <c r="BE269" s="28">
        <v>0</v>
      </c>
      <c r="BF269" s="28">
        <f>269</f>
        <v>269</v>
      </c>
      <c r="BH269" s="60">
        <f>I269*AO269</f>
        <v>0</v>
      </c>
      <c r="BI269" s="60">
        <f>I269*AP269</f>
        <v>0</v>
      </c>
      <c r="BJ269" s="60">
        <f>I269*J269</f>
        <v>0</v>
      </c>
      <c r="BK269" s="60" t="s">
        <v>971</v>
      </c>
      <c r="BL269" s="28">
        <v>733</v>
      </c>
    </row>
    <row r="270" spans="1:64" x14ac:dyDescent="0.25">
      <c r="A270" s="17"/>
      <c r="C270" s="148" t="s">
        <v>689</v>
      </c>
      <c r="D270" s="149"/>
      <c r="E270" s="149"/>
      <c r="F270" s="149"/>
      <c r="G270" s="149"/>
      <c r="I270" s="77">
        <v>40.5</v>
      </c>
      <c r="L270" s="14"/>
      <c r="M270" s="17"/>
    </row>
    <row r="271" spans="1:64" x14ac:dyDescent="0.25">
      <c r="A271" s="35" t="s">
        <v>169</v>
      </c>
      <c r="B271" s="43" t="s">
        <v>357</v>
      </c>
      <c r="C271" s="159" t="s">
        <v>690</v>
      </c>
      <c r="D271" s="160"/>
      <c r="E271" s="160"/>
      <c r="F271" s="160"/>
      <c r="G271" s="160"/>
      <c r="H271" s="43" t="s">
        <v>895</v>
      </c>
      <c r="I271" s="78">
        <v>41.715000000000003</v>
      </c>
      <c r="J271" s="61">
        <v>0</v>
      </c>
      <c r="K271" s="61">
        <f>I271*J271</f>
        <v>0</v>
      </c>
      <c r="L271" s="54" t="s">
        <v>906</v>
      </c>
      <c r="M271" s="17"/>
      <c r="Z271" s="28">
        <f>IF(AQ271="5",BJ271,0)</f>
        <v>0</v>
      </c>
      <c r="AB271" s="28">
        <f>IF(AQ271="1",BH271,0)</f>
        <v>0</v>
      </c>
      <c r="AC271" s="28">
        <f>IF(AQ271="1",BI271,0)</f>
        <v>0</v>
      </c>
      <c r="AD271" s="28">
        <f>IF(AQ271="7",BH271,0)</f>
        <v>0</v>
      </c>
      <c r="AE271" s="28">
        <f>IF(AQ271="7",BI271,0)</f>
        <v>0</v>
      </c>
      <c r="AF271" s="28">
        <f>IF(AQ271="2",BH271,0)</f>
        <v>0</v>
      </c>
      <c r="AG271" s="28">
        <f>IF(AQ271="2",BI271,0)</f>
        <v>0</v>
      </c>
      <c r="AH271" s="28">
        <f>IF(AQ271="0",BJ271,0)</f>
        <v>0</v>
      </c>
      <c r="AI271" s="56" t="s">
        <v>72</v>
      </c>
      <c r="AJ271" s="61">
        <f>IF(AN271=0,K271,0)</f>
        <v>0</v>
      </c>
      <c r="AK271" s="61">
        <f>IF(AN271=15,K271,0)</f>
        <v>0</v>
      </c>
      <c r="AL271" s="61">
        <f>IF(AN271=21,K271,0)</f>
        <v>0</v>
      </c>
      <c r="AN271" s="28">
        <v>21</v>
      </c>
      <c r="AO271" s="28">
        <f>J271*1</f>
        <v>0</v>
      </c>
      <c r="AP271" s="28">
        <f>J271*(1-1)</f>
        <v>0</v>
      </c>
      <c r="AQ271" s="58" t="s">
        <v>88</v>
      </c>
      <c r="AV271" s="28">
        <f>AW271+AX271</f>
        <v>0</v>
      </c>
      <c r="AW271" s="28">
        <f>I271*AO271</f>
        <v>0</v>
      </c>
      <c r="AX271" s="28">
        <f>I271*AP271</f>
        <v>0</v>
      </c>
      <c r="AY271" s="59" t="s">
        <v>934</v>
      </c>
      <c r="AZ271" s="59" t="s">
        <v>960</v>
      </c>
      <c r="BA271" s="56" t="s">
        <v>966</v>
      </c>
      <c r="BC271" s="28">
        <f>AW271+AX271</f>
        <v>0</v>
      </c>
      <c r="BD271" s="28">
        <f>J271/(100-BE271)*100</f>
        <v>0</v>
      </c>
      <c r="BE271" s="28">
        <v>0</v>
      </c>
      <c r="BF271" s="28">
        <f>271</f>
        <v>271</v>
      </c>
      <c r="BH271" s="61">
        <f>I271*AO271</f>
        <v>0</v>
      </c>
      <c r="BI271" s="61">
        <f>I271*AP271</f>
        <v>0</v>
      </c>
      <c r="BJ271" s="61">
        <f>I271*J271</f>
        <v>0</v>
      </c>
      <c r="BK271" s="61" t="s">
        <v>972</v>
      </c>
      <c r="BL271" s="28">
        <v>733</v>
      </c>
    </row>
    <row r="272" spans="1:64" x14ac:dyDescent="0.25">
      <c r="A272" s="17"/>
      <c r="C272" s="148" t="s">
        <v>689</v>
      </c>
      <c r="D272" s="149"/>
      <c r="E272" s="149"/>
      <c r="F272" s="149"/>
      <c r="G272" s="149"/>
      <c r="I272" s="77">
        <v>40.5</v>
      </c>
      <c r="L272" s="14"/>
      <c r="M272" s="17"/>
    </row>
    <row r="273" spans="1:64" x14ac:dyDescent="0.25">
      <c r="A273" s="17"/>
      <c r="C273" s="148" t="s">
        <v>691</v>
      </c>
      <c r="D273" s="149"/>
      <c r="E273" s="149"/>
      <c r="F273" s="149"/>
      <c r="G273" s="149"/>
      <c r="I273" s="77">
        <v>1.2150000000000001</v>
      </c>
      <c r="L273" s="14"/>
      <c r="M273" s="17"/>
    </row>
    <row r="274" spans="1:64" x14ac:dyDescent="0.25">
      <c r="A274" s="34" t="s">
        <v>170</v>
      </c>
      <c r="B274" s="41" t="s">
        <v>358</v>
      </c>
      <c r="C274" s="146" t="s">
        <v>692</v>
      </c>
      <c r="D274" s="147"/>
      <c r="E274" s="147"/>
      <c r="F274" s="147"/>
      <c r="G274" s="147"/>
      <c r="H274" s="41" t="s">
        <v>895</v>
      </c>
      <c r="I274" s="76">
        <v>36</v>
      </c>
      <c r="J274" s="60">
        <v>0</v>
      </c>
      <c r="K274" s="60">
        <f>I274*J274</f>
        <v>0</v>
      </c>
      <c r="L274" s="53" t="s">
        <v>906</v>
      </c>
      <c r="M274" s="17"/>
      <c r="Z274" s="28">
        <f>IF(AQ274="5",BJ274,0)</f>
        <v>0</v>
      </c>
      <c r="AB274" s="28">
        <f>IF(AQ274="1",BH274,0)</f>
        <v>0</v>
      </c>
      <c r="AC274" s="28">
        <f>IF(AQ274="1",BI274,0)</f>
        <v>0</v>
      </c>
      <c r="AD274" s="28">
        <f>IF(AQ274="7",BH274,0)</f>
        <v>0</v>
      </c>
      <c r="AE274" s="28">
        <f>IF(AQ274="7",BI274,0)</f>
        <v>0</v>
      </c>
      <c r="AF274" s="28">
        <f>IF(AQ274="2",BH274,0)</f>
        <v>0</v>
      </c>
      <c r="AG274" s="28">
        <f>IF(AQ274="2",BI274,0)</f>
        <v>0</v>
      </c>
      <c r="AH274" s="28">
        <f>IF(AQ274="0",BJ274,0)</f>
        <v>0</v>
      </c>
      <c r="AI274" s="56" t="s">
        <v>72</v>
      </c>
      <c r="AJ274" s="60">
        <f>IF(AN274=0,K274,0)</f>
        <v>0</v>
      </c>
      <c r="AK274" s="60">
        <f>IF(AN274=15,K274,0)</f>
        <v>0</v>
      </c>
      <c r="AL274" s="60">
        <f>IF(AN274=21,K274,0)</f>
        <v>0</v>
      </c>
      <c r="AN274" s="28">
        <v>21</v>
      </c>
      <c r="AO274" s="28">
        <f>J274*0.0757531712473573</f>
        <v>0</v>
      </c>
      <c r="AP274" s="28">
        <f>J274*(1-0.0757531712473573)</f>
        <v>0</v>
      </c>
      <c r="AQ274" s="57" t="s">
        <v>88</v>
      </c>
      <c r="AV274" s="28">
        <f>AW274+AX274</f>
        <v>0</v>
      </c>
      <c r="AW274" s="28">
        <f>I274*AO274</f>
        <v>0</v>
      </c>
      <c r="AX274" s="28">
        <f>I274*AP274</f>
        <v>0</v>
      </c>
      <c r="AY274" s="59" t="s">
        <v>934</v>
      </c>
      <c r="AZ274" s="59" t="s">
        <v>960</v>
      </c>
      <c r="BA274" s="56" t="s">
        <v>966</v>
      </c>
      <c r="BC274" s="28">
        <f>AW274+AX274</f>
        <v>0</v>
      </c>
      <c r="BD274" s="28">
        <f>J274/(100-BE274)*100</f>
        <v>0</v>
      </c>
      <c r="BE274" s="28">
        <v>0</v>
      </c>
      <c r="BF274" s="28">
        <f>274</f>
        <v>274</v>
      </c>
      <c r="BH274" s="60">
        <f>I274*AO274</f>
        <v>0</v>
      </c>
      <c r="BI274" s="60">
        <f>I274*AP274</f>
        <v>0</v>
      </c>
      <c r="BJ274" s="60">
        <f>I274*J274</f>
        <v>0</v>
      </c>
      <c r="BK274" s="60" t="s">
        <v>971</v>
      </c>
      <c r="BL274" s="28">
        <v>733</v>
      </c>
    </row>
    <row r="275" spans="1:64" x14ac:dyDescent="0.25">
      <c r="A275" s="17"/>
      <c r="C275" s="148" t="s">
        <v>693</v>
      </c>
      <c r="D275" s="149"/>
      <c r="E275" s="149"/>
      <c r="F275" s="149"/>
      <c r="G275" s="149"/>
      <c r="I275" s="77">
        <v>36</v>
      </c>
      <c r="L275" s="14"/>
      <c r="M275" s="17"/>
    </row>
    <row r="276" spans="1:64" x14ac:dyDescent="0.25">
      <c r="A276" s="35" t="s">
        <v>171</v>
      </c>
      <c r="B276" s="43" t="s">
        <v>359</v>
      </c>
      <c r="C276" s="159" t="s">
        <v>694</v>
      </c>
      <c r="D276" s="160"/>
      <c r="E276" s="160"/>
      <c r="F276" s="160"/>
      <c r="G276" s="160"/>
      <c r="H276" s="43" t="s">
        <v>895</v>
      </c>
      <c r="I276" s="78">
        <v>37.08</v>
      </c>
      <c r="J276" s="61">
        <v>0</v>
      </c>
      <c r="K276" s="61">
        <f>I276*J276</f>
        <v>0</v>
      </c>
      <c r="L276" s="54" t="s">
        <v>906</v>
      </c>
      <c r="M276" s="17"/>
      <c r="Z276" s="28">
        <f>IF(AQ276="5",BJ276,0)</f>
        <v>0</v>
      </c>
      <c r="AB276" s="28">
        <f>IF(AQ276="1",BH276,0)</f>
        <v>0</v>
      </c>
      <c r="AC276" s="28">
        <f>IF(AQ276="1",BI276,0)</f>
        <v>0</v>
      </c>
      <c r="AD276" s="28">
        <f>IF(AQ276="7",BH276,0)</f>
        <v>0</v>
      </c>
      <c r="AE276" s="28">
        <f>IF(AQ276="7",BI276,0)</f>
        <v>0</v>
      </c>
      <c r="AF276" s="28">
        <f>IF(AQ276="2",BH276,0)</f>
        <v>0</v>
      </c>
      <c r="AG276" s="28">
        <f>IF(AQ276="2",BI276,0)</f>
        <v>0</v>
      </c>
      <c r="AH276" s="28">
        <f>IF(AQ276="0",BJ276,0)</f>
        <v>0</v>
      </c>
      <c r="AI276" s="56" t="s">
        <v>72</v>
      </c>
      <c r="AJ276" s="61">
        <f>IF(AN276=0,K276,0)</f>
        <v>0</v>
      </c>
      <c r="AK276" s="61">
        <f>IF(AN276=15,K276,0)</f>
        <v>0</v>
      </c>
      <c r="AL276" s="61">
        <f>IF(AN276=21,K276,0)</f>
        <v>0</v>
      </c>
      <c r="AN276" s="28">
        <v>21</v>
      </c>
      <c r="AO276" s="28">
        <f>J276*1</f>
        <v>0</v>
      </c>
      <c r="AP276" s="28">
        <f>J276*(1-1)</f>
        <v>0</v>
      </c>
      <c r="AQ276" s="58" t="s">
        <v>88</v>
      </c>
      <c r="AV276" s="28">
        <f>AW276+AX276</f>
        <v>0</v>
      </c>
      <c r="AW276" s="28">
        <f>I276*AO276</f>
        <v>0</v>
      </c>
      <c r="AX276" s="28">
        <f>I276*AP276</f>
        <v>0</v>
      </c>
      <c r="AY276" s="59" t="s">
        <v>934</v>
      </c>
      <c r="AZ276" s="59" t="s">
        <v>960</v>
      </c>
      <c r="BA276" s="56" t="s">
        <v>966</v>
      </c>
      <c r="BC276" s="28">
        <f>AW276+AX276</f>
        <v>0</v>
      </c>
      <c r="BD276" s="28">
        <f>J276/(100-BE276)*100</f>
        <v>0</v>
      </c>
      <c r="BE276" s="28">
        <v>0</v>
      </c>
      <c r="BF276" s="28">
        <f>276</f>
        <v>276</v>
      </c>
      <c r="BH276" s="61">
        <f>I276*AO276</f>
        <v>0</v>
      </c>
      <c r="BI276" s="61">
        <f>I276*AP276</f>
        <v>0</v>
      </c>
      <c r="BJ276" s="61">
        <f>I276*J276</f>
        <v>0</v>
      </c>
      <c r="BK276" s="61" t="s">
        <v>972</v>
      </c>
      <c r="BL276" s="28">
        <v>733</v>
      </c>
    </row>
    <row r="277" spans="1:64" x14ac:dyDescent="0.25">
      <c r="A277" s="17"/>
      <c r="C277" s="148" t="s">
        <v>693</v>
      </c>
      <c r="D277" s="149"/>
      <c r="E277" s="149"/>
      <c r="F277" s="149"/>
      <c r="G277" s="149"/>
      <c r="I277" s="77">
        <v>36</v>
      </c>
      <c r="L277" s="14"/>
      <c r="M277" s="17"/>
    </row>
    <row r="278" spans="1:64" x14ac:dyDescent="0.25">
      <c r="A278" s="17"/>
      <c r="C278" s="148" t="s">
        <v>695</v>
      </c>
      <c r="D278" s="149"/>
      <c r="E278" s="149"/>
      <c r="F278" s="149"/>
      <c r="G278" s="149"/>
      <c r="I278" s="77">
        <v>1.08</v>
      </c>
      <c r="L278" s="14"/>
      <c r="M278" s="17"/>
    </row>
    <row r="279" spans="1:64" x14ac:dyDescent="0.25">
      <c r="A279" s="34" t="s">
        <v>172</v>
      </c>
      <c r="B279" s="41" t="s">
        <v>360</v>
      </c>
      <c r="C279" s="146" t="s">
        <v>696</v>
      </c>
      <c r="D279" s="147"/>
      <c r="E279" s="147"/>
      <c r="F279" s="147"/>
      <c r="G279" s="147"/>
      <c r="H279" s="41" t="s">
        <v>895</v>
      </c>
      <c r="I279" s="76">
        <v>51.5</v>
      </c>
      <c r="J279" s="60">
        <v>0</v>
      </c>
      <c r="K279" s="60">
        <f>I279*J279</f>
        <v>0</v>
      </c>
      <c r="L279" s="53" t="s">
        <v>906</v>
      </c>
      <c r="M279" s="17"/>
      <c r="Z279" s="28">
        <f>IF(AQ279="5",BJ279,0)</f>
        <v>0</v>
      </c>
      <c r="AB279" s="28">
        <f>IF(AQ279="1",BH279,0)</f>
        <v>0</v>
      </c>
      <c r="AC279" s="28">
        <f>IF(AQ279="1",BI279,0)</f>
        <v>0</v>
      </c>
      <c r="AD279" s="28">
        <f>IF(AQ279="7",BH279,0)</f>
        <v>0</v>
      </c>
      <c r="AE279" s="28">
        <f>IF(AQ279="7",BI279,0)</f>
        <v>0</v>
      </c>
      <c r="AF279" s="28">
        <f>IF(AQ279="2",BH279,0)</f>
        <v>0</v>
      </c>
      <c r="AG279" s="28">
        <f>IF(AQ279="2",BI279,0)</f>
        <v>0</v>
      </c>
      <c r="AH279" s="28">
        <f>IF(AQ279="0",BJ279,0)</f>
        <v>0</v>
      </c>
      <c r="AI279" s="56" t="s">
        <v>72</v>
      </c>
      <c r="AJ279" s="60">
        <f>IF(AN279=0,K279,0)</f>
        <v>0</v>
      </c>
      <c r="AK279" s="60">
        <f>IF(AN279=15,K279,0)</f>
        <v>0</v>
      </c>
      <c r="AL279" s="60">
        <f>IF(AN279=21,K279,0)</f>
        <v>0</v>
      </c>
      <c r="AN279" s="28">
        <v>21</v>
      </c>
      <c r="AO279" s="28">
        <f>J279*0.0661401209677419</f>
        <v>0</v>
      </c>
      <c r="AP279" s="28">
        <f>J279*(1-0.0661401209677419)</f>
        <v>0</v>
      </c>
      <c r="AQ279" s="57" t="s">
        <v>88</v>
      </c>
      <c r="AV279" s="28">
        <f>AW279+AX279</f>
        <v>0</v>
      </c>
      <c r="AW279" s="28">
        <f>I279*AO279</f>
        <v>0</v>
      </c>
      <c r="AX279" s="28">
        <f>I279*AP279</f>
        <v>0</v>
      </c>
      <c r="AY279" s="59" t="s">
        <v>934</v>
      </c>
      <c r="AZ279" s="59" t="s">
        <v>960</v>
      </c>
      <c r="BA279" s="56" t="s">
        <v>966</v>
      </c>
      <c r="BC279" s="28">
        <f>AW279+AX279</f>
        <v>0</v>
      </c>
      <c r="BD279" s="28">
        <f>J279/(100-BE279)*100</f>
        <v>0</v>
      </c>
      <c r="BE279" s="28">
        <v>0</v>
      </c>
      <c r="BF279" s="28">
        <f>279</f>
        <v>279</v>
      </c>
      <c r="BH279" s="60">
        <f>I279*AO279</f>
        <v>0</v>
      </c>
      <c r="BI279" s="60">
        <f>I279*AP279</f>
        <v>0</v>
      </c>
      <c r="BJ279" s="60">
        <f>I279*J279</f>
        <v>0</v>
      </c>
      <c r="BK279" s="60" t="s">
        <v>971</v>
      </c>
      <c r="BL279" s="28">
        <v>733</v>
      </c>
    </row>
    <row r="280" spans="1:64" x14ac:dyDescent="0.25">
      <c r="A280" s="17"/>
      <c r="C280" s="148" t="s">
        <v>697</v>
      </c>
      <c r="D280" s="149"/>
      <c r="E280" s="149"/>
      <c r="F280" s="149"/>
      <c r="G280" s="149"/>
      <c r="I280" s="77">
        <v>51.5</v>
      </c>
      <c r="L280" s="14"/>
      <c r="M280" s="17"/>
    </row>
    <row r="281" spans="1:64" x14ac:dyDescent="0.25">
      <c r="A281" s="35" t="s">
        <v>173</v>
      </c>
      <c r="B281" s="43" t="s">
        <v>361</v>
      </c>
      <c r="C281" s="159" t="s">
        <v>698</v>
      </c>
      <c r="D281" s="160"/>
      <c r="E281" s="160"/>
      <c r="F281" s="160"/>
      <c r="G281" s="160"/>
      <c r="H281" s="43" t="s">
        <v>895</v>
      </c>
      <c r="I281" s="78">
        <v>53.045000000000002</v>
      </c>
      <c r="J281" s="61">
        <v>0</v>
      </c>
      <c r="K281" s="61">
        <f>I281*J281</f>
        <v>0</v>
      </c>
      <c r="L281" s="54" t="s">
        <v>906</v>
      </c>
      <c r="M281" s="17"/>
      <c r="Z281" s="28">
        <f>IF(AQ281="5",BJ281,0)</f>
        <v>0</v>
      </c>
      <c r="AB281" s="28">
        <f>IF(AQ281="1",BH281,0)</f>
        <v>0</v>
      </c>
      <c r="AC281" s="28">
        <f>IF(AQ281="1",BI281,0)</f>
        <v>0</v>
      </c>
      <c r="AD281" s="28">
        <f>IF(AQ281="7",BH281,0)</f>
        <v>0</v>
      </c>
      <c r="AE281" s="28">
        <f>IF(AQ281="7",BI281,0)</f>
        <v>0</v>
      </c>
      <c r="AF281" s="28">
        <f>IF(AQ281="2",BH281,0)</f>
        <v>0</v>
      </c>
      <c r="AG281" s="28">
        <f>IF(AQ281="2",BI281,0)</f>
        <v>0</v>
      </c>
      <c r="AH281" s="28">
        <f>IF(AQ281="0",BJ281,0)</f>
        <v>0</v>
      </c>
      <c r="AI281" s="56" t="s">
        <v>72</v>
      </c>
      <c r="AJ281" s="61">
        <f>IF(AN281=0,K281,0)</f>
        <v>0</v>
      </c>
      <c r="AK281" s="61">
        <f>IF(AN281=15,K281,0)</f>
        <v>0</v>
      </c>
      <c r="AL281" s="61">
        <f>IF(AN281=21,K281,0)</f>
        <v>0</v>
      </c>
      <c r="AN281" s="28">
        <v>21</v>
      </c>
      <c r="AO281" s="28">
        <f>J281*1</f>
        <v>0</v>
      </c>
      <c r="AP281" s="28">
        <f>J281*(1-1)</f>
        <v>0</v>
      </c>
      <c r="AQ281" s="58" t="s">
        <v>88</v>
      </c>
      <c r="AV281" s="28">
        <f>AW281+AX281</f>
        <v>0</v>
      </c>
      <c r="AW281" s="28">
        <f>I281*AO281</f>
        <v>0</v>
      </c>
      <c r="AX281" s="28">
        <f>I281*AP281</f>
        <v>0</v>
      </c>
      <c r="AY281" s="59" t="s">
        <v>934</v>
      </c>
      <c r="AZ281" s="59" t="s">
        <v>960</v>
      </c>
      <c r="BA281" s="56" t="s">
        <v>966</v>
      </c>
      <c r="BC281" s="28">
        <f>AW281+AX281</f>
        <v>0</v>
      </c>
      <c r="BD281" s="28">
        <f>J281/(100-BE281)*100</f>
        <v>0</v>
      </c>
      <c r="BE281" s="28">
        <v>0</v>
      </c>
      <c r="BF281" s="28">
        <f>281</f>
        <v>281</v>
      </c>
      <c r="BH281" s="61">
        <f>I281*AO281</f>
        <v>0</v>
      </c>
      <c r="BI281" s="61">
        <f>I281*AP281</f>
        <v>0</v>
      </c>
      <c r="BJ281" s="61">
        <f>I281*J281</f>
        <v>0</v>
      </c>
      <c r="BK281" s="61" t="s">
        <v>972</v>
      </c>
      <c r="BL281" s="28">
        <v>733</v>
      </c>
    </row>
    <row r="282" spans="1:64" x14ac:dyDescent="0.25">
      <c r="A282" s="17"/>
      <c r="C282" s="148" t="s">
        <v>697</v>
      </c>
      <c r="D282" s="149"/>
      <c r="E282" s="149"/>
      <c r="F282" s="149"/>
      <c r="G282" s="149"/>
      <c r="I282" s="77">
        <v>51.5</v>
      </c>
      <c r="L282" s="14"/>
      <c r="M282" s="17"/>
    </row>
    <row r="283" spans="1:64" x14ac:dyDescent="0.25">
      <c r="A283" s="17"/>
      <c r="C283" s="148" t="s">
        <v>699</v>
      </c>
      <c r="D283" s="149"/>
      <c r="E283" s="149"/>
      <c r="F283" s="149"/>
      <c r="G283" s="149"/>
      <c r="I283" s="77">
        <v>1.5449999999999999</v>
      </c>
      <c r="L283" s="14"/>
      <c r="M283" s="17"/>
    </row>
    <row r="284" spans="1:64" x14ac:dyDescent="0.25">
      <c r="A284" s="34" t="s">
        <v>174</v>
      </c>
      <c r="B284" s="41" t="s">
        <v>362</v>
      </c>
      <c r="C284" s="146" t="s">
        <v>700</v>
      </c>
      <c r="D284" s="147"/>
      <c r="E284" s="147"/>
      <c r="F284" s="147"/>
      <c r="G284" s="147"/>
      <c r="H284" s="41" t="s">
        <v>895</v>
      </c>
      <c r="I284" s="76">
        <v>22</v>
      </c>
      <c r="J284" s="60">
        <v>0</v>
      </c>
      <c r="K284" s="60">
        <f>I284*J284</f>
        <v>0</v>
      </c>
      <c r="L284" s="53" t="s">
        <v>906</v>
      </c>
      <c r="M284" s="17"/>
      <c r="Z284" s="28">
        <f>IF(AQ284="5",BJ284,0)</f>
        <v>0</v>
      </c>
      <c r="AB284" s="28">
        <f>IF(AQ284="1",BH284,0)</f>
        <v>0</v>
      </c>
      <c r="AC284" s="28">
        <f>IF(AQ284="1",BI284,0)</f>
        <v>0</v>
      </c>
      <c r="AD284" s="28">
        <f>IF(AQ284="7",BH284,0)</f>
        <v>0</v>
      </c>
      <c r="AE284" s="28">
        <f>IF(AQ284="7",BI284,0)</f>
        <v>0</v>
      </c>
      <c r="AF284" s="28">
        <f>IF(AQ284="2",BH284,0)</f>
        <v>0</v>
      </c>
      <c r="AG284" s="28">
        <f>IF(AQ284="2",BI284,0)</f>
        <v>0</v>
      </c>
      <c r="AH284" s="28">
        <f>IF(AQ284="0",BJ284,0)</f>
        <v>0</v>
      </c>
      <c r="AI284" s="56" t="s">
        <v>72</v>
      </c>
      <c r="AJ284" s="60">
        <f>IF(AN284=0,K284,0)</f>
        <v>0</v>
      </c>
      <c r="AK284" s="60">
        <f>IF(AN284=15,K284,0)</f>
        <v>0</v>
      </c>
      <c r="AL284" s="60">
        <f>IF(AN284=21,K284,0)</f>
        <v>0</v>
      </c>
      <c r="AN284" s="28">
        <v>21</v>
      </c>
      <c r="AO284" s="28">
        <f>J284*0.0619178082191781</f>
        <v>0</v>
      </c>
      <c r="AP284" s="28">
        <f>J284*(1-0.0619178082191781)</f>
        <v>0</v>
      </c>
      <c r="AQ284" s="57" t="s">
        <v>88</v>
      </c>
      <c r="AV284" s="28">
        <f>AW284+AX284</f>
        <v>0</v>
      </c>
      <c r="AW284" s="28">
        <f>I284*AO284</f>
        <v>0</v>
      </c>
      <c r="AX284" s="28">
        <f>I284*AP284</f>
        <v>0</v>
      </c>
      <c r="AY284" s="59" t="s">
        <v>934</v>
      </c>
      <c r="AZ284" s="59" t="s">
        <v>960</v>
      </c>
      <c r="BA284" s="56" t="s">
        <v>966</v>
      </c>
      <c r="BC284" s="28">
        <f>AW284+AX284</f>
        <v>0</v>
      </c>
      <c r="BD284" s="28">
        <f>J284/(100-BE284)*100</f>
        <v>0</v>
      </c>
      <c r="BE284" s="28">
        <v>0</v>
      </c>
      <c r="BF284" s="28">
        <f>284</f>
        <v>284</v>
      </c>
      <c r="BH284" s="60">
        <f>I284*AO284</f>
        <v>0</v>
      </c>
      <c r="BI284" s="60">
        <f>I284*AP284</f>
        <v>0</v>
      </c>
      <c r="BJ284" s="60">
        <f>I284*J284</f>
        <v>0</v>
      </c>
      <c r="BK284" s="60" t="s">
        <v>971</v>
      </c>
      <c r="BL284" s="28">
        <v>733</v>
      </c>
    </row>
    <row r="285" spans="1:64" x14ac:dyDescent="0.25">
      <c r="A285" s="17"/>
      <c r="C285" s="148" t="s">
        <v>629</v>
      </c>
      <c r="D285" s="149"/>
      <c r="E285" s="149"/>
      <c r="F285" s="149"/>
      <c r="G285" s="149"/>
      <c r="I285" s="77">
        <v>22</v>
      </c>
      <c r="L285" s="14"/>
      <c r="M285" s="17"/>
    </row>
    <row r="286" spans="1:64" x14ac:dyDescent="0.25">
      <c r="A286" s="35" t="s">
        <v>175</v>
      </c>
      <c r="B286" s="43" t="s">
        <v>363</v>
      </c>
      <c r="C286" s="159" t="s">
        <v>701</v>
      </c>
      <c r="D286" s="160"/>
      <c r="E286" s="160"/>
      <c r="F286" s="160"/>
      <c r="G286" s="160"/>
      <c r="H286" s="43" t="s">
        <v>895</v>
      </c>
      <c r="I286" s="78">
        <v>22.66</v>
      </c>
      <c r="J286" s="61">
        <v>0</v>
      </c>
      <c r="K286" s="61">
        <f>I286*J286</f>
        <v>0</v>
      </c>
      <c r="L286" s="54" t="s">
        <v>906</v>
      </c>
      <c r="M286" s="17"/>
      <c r="Z286" s="28">
        <f>IF(AQ286="5",BJ286,0)</f>
        <v>0</v>
      </c>
      <c r="AB286" s="28">
        <f>IF(AQ286="1",BH286,0)</f>
        <v>0</v>
      </c>
      <c r="AC286" s="28">
        <f>IF(AQ286="1",BI286,0)</f>
        <v>0</v>
      </c>
      <c r="AD286" s="28">
        <f>IF(AQ286="7",BH286,0)</f>
        <v>0</v>
      </c>
      <c r="AE286" s="28">
        <f>IF(AQ286="7",BI286,0)</f>
        <v>0</v>
      </c>
      <c r="AF286" s="28">
        <f>IF(AQ286="2",BH286,0)</f>
        <v>0</v>
      </c>
      <c r="AG286" s="28">
        <f>IF(AQ286="2",BI286,0)</f>
        <v>0</v>
      </c>
      <c r="AH286" s="28">
        <f>IF(AQ286="0",BJ286,0)</f>
        <v>0</v>
      </c>
      <c r="AI286" s="56" t="s">
        <v>72</v>
      </c>
      <c r="AJ286" s="61">
        <f>IF(AN286=0,K286,0)</f>
        <v>0</v>
      </c>
      <c r="AK286" s="61">
        <f>IF(AN286=15,K286,0)</f>
        <v>0</v>
      </c>
      <c r="AL286" s="61">
        <f>IF(AN286=21,K286,0)</f>
        <v>0</v>
      </c>
      <c r="AN286" s="28">
        <v>21</v>
      </c>
      <c r="AO286" s="28">
        <f>J286*1</f>
        <v>0</v>
      </c>
      <c r="AP286" s="28">
        <f>J286*(1-1)</f>
        <v>0</v>
      </c>
      <c r="AQ286" s="58" t="s">
        <v>88</v>
      </c>
      <c r="AV286" s="28">
        <f>AW286+AX286</f>
        <v>0</v>
      </c>
      <c r="AW286" s="28">
        <f>I286*AO286</f>
        <v>0</v>
      </c>
      <c r="AX286" s="28">
        <f>I286*AP286</f>
        <v>0</v>
      </c>
      <c r="AY286" s="59" t="s">
        <v>934</v>
      </c>
      <c r="AZ286" s="59" t="s">
        <v>960</v>
      </c>
      <c r="BA286" s="56" t="s">
        <v>966</v>
      </c>
      <c r="BC286" s="28">
        <f>AW286+AX286</f>
        <v>0</v>
      </c>
      <c r="BD286" s="28">
        <f>J286/(100-BE286)*100</f>
        <v>0</v>
      </c>
      <c r="BE286" s="28">
        <v>0</v>
      </c>
      <c r="BF286" s="28">
        <f>286</f>
        <v>286</v>
      </c>
      <c r="BH286" s="61">
        <f>I286*AO286</f>
        <v>0</v>
      </c>
      <c r="BI286" s="61">
        <f>I286*AP286</f>
        <v>0</v>
      </c>
      <c r="BJ286" s="61">
        <f>I286*J286</f>
        <v>0</v>
      </c>
      <c r="BK286" s="61" t="s">
        <v>972</v>
      </c>
      <c r="BL286" s="28">
        <v>733</v>
      </c>
    </row>
    <row r="287" spans="1:64" x14ac:dyDescent="0.25">
      <c r="A287" s="17"/>
      <c r="C287" s="148" t="s">
        <v>629</v>
      </c>
      <c r="D287" s="149"/>
      <c r="E287" s="149"/>
      <c r="F287" s="149"/>
      <c r="G287" s="149"/>
      <c r="I287" s="77">
        <v>22</v>
      </c>
      <c r="L287" s="14"/>
      <c r="M287" s="17"/>
    </row>
    <row r="288" spans="1:64" x14ac:dyDescent="0.25">
      <c r="A288" s="17"/>
      <c r="C288" s="148" t="s">
        <v>702</v>
      </c>
      <c r="D288" s="149"/>
      <c r="E288" s="149"/>
      <c r="F288" s="149"/>
      <c r="G288" s="149"/>
      <c r="I288" s="77">
        <v>0.66</v>
      </c>
      <c r="L288" s="14"/>
      <c r="M288" s="17"/>
    </row>
    <row r="289" spans="1:64" x14ac:dyDescent="0.25">
      <c r="A289" s="34" t="s">
        <v>176</v>
      </c>
      <c r="B289" s="41" t="s">
        <v>364</v>
      </c>
      <c r="C289" s="146" t="s">
        <v>703</v>
      </c>
      <c r="D289" s="147"/>
      <c r="E289" s="147"/>
      <c r="F289" s="147"/>
      <c r="G289" s="147"/>
      <c r="H289" s="41" t="s">
        <v>898</v>
      </c>
      <c r="I289" s="76">
        <v>0.10199999999999999</v>
      </c>
      <c r="J289" s="60">
        <v>0</v>
      </c>
      <c r="K289" s="60">
        <f>I289*J289</f>
        <v>0</v>
      </c>
      <c r="L289" s="53" t="s">
        <v>906</v>
      </c>
      <c r="M289" s="17"/>
      <c r="Z289" s="28">
        <f>IF(AQ289="5",BJ289,0)</f>
        <v>0</v>
      </c>
      <c r="AB289" s="28">
        <f>IF(AQ289="1",BH289,0)</f>
        <v>0</v>
      </c>
      <c r="AC289" s="28">
        <f>IF(AQ289="1",BI289,0)</f>
        <v>0</v>
      </c>
      <c r="AD289" s="28">
        <f>IF(AQ289="7",BH289,0)</f>
        <v>0</v>
      </c>
      <c r="AE289" s="28">
        <f>IF(AQ289="7",BI289,0)</f>
        <v>0</v>
      </c>
      <c r="AF289" s="28">
        <f>IF(AQ289="2",BH289,0)</f>
        <v>0</v>
      </c>
      <c r="AG289" s="28">
        <f>IF(AQ289="2",BI289,0)</f>
        <v>0</v>
      </c>
      <c r="AH289" s="28">
        <f>IF(AQ289="0",BJ289,0)</f>
        <v>0</v>
      </c>
      <c r="AI289" s="56" t="s">
        <v>72</v>
      </c>
      <c r="AJ289" s="60">
        <f>IF(AN289=0,K289,0)</f>
        <v>0</v>
      </c>
      <c r="AK289" s="60">
        <f>IF(AN289=15,K289,0)</f>
        <v>0</v>
      </c>
      <c r="AL289" s="60">
        <f>IF(AN289=21,K289,0)</f>
        <v>0</v>
      </c>
      <c r="AN289" s="28">
        <v>21</v>
      </c>
      <c r="AO289" s="28">
        <f>J289*0</f>
        <v>0</v>
      </c>
      <c r="AP289" s="28">
        <f>J289*(1-0)</f>
        <v>0</v>
      </c>
      <c r="AQ289" s="57" t="s">
        <v>86</v>
      </c>
      <c r="AV289" s="28">
        <f>AW289+AX289</f>
        <v>0</v>
      </c>
      <c r="AW289" s="28">
        <f>I289*AO289</f>
        <v>0</v>
      </c>
      <c r="AX289" s="28">
        <f>I289*AP289</f>
        <v>0</v>
      </c>
      <c r="AY289" s="59" t="s">
        <v>934</v>
      </c>
      <c r="AZ289" s="59" t="s">
        <v>960</v>
      </c>
      <c r="BA289" s="56" t="s">
        <v>966</v>
      </c>
      <c r="BC289" s="28">
        <f>AW289+AX289</f>
        <v>0</v>
      </c>
      <c r="BD289" s="28">
        <f>J289/(100-BE289)*100</f>
        <v>0</v>
      </c>
      <c r="BE289" s="28">
        <v>0</v>
      </c>
      <c r="BF289" s="28">
        <f>289</f>
        <v>289</v>
      </c>
      <c r="BH289" s="60">
        <f>I289*AO289</f>
        <v>0</v>
      </c>
      <c r="BI289" s="60">
        <f>I289*AP289</f>
        <v>0</v>
      </c>
      <c r="BJ289" s="60">
        <f>I289*J289</f>
        <v>0</v>
      </c>
      <c r="BK289" s="60" t="s">
        <v>971</v>
      </c>
      <c r="BL289" s="28">
        <v>733</v>
      </c>
    </row>
    <row r="290" spans="1:64" x14ac:dyDescent="0.25">
      <c r="A290" s="33"/>
      <c r="B290" s="40" t="s">
        <v>365</v>
      </c>
      <c r="C290" s="144" t="s">
        <v>704</v>
      </c>
      <c r="D290" s="145"/>
      <c r="E290" s="145"/>
      <c r="F290" s="145"/>
      <c r="G290" s="145"/>
      <c r="H290" s="46" t="s">
        <v>58</v>
      </c>
      <c r="I290" s="46" t="s">
        <v>58</v>
      </c>
      <c r="J290" s="46" t="s">
        <v>58</v>
      </c>
      <c r="K290" s="65">
        <f>SUM(K291:K300)</f>
        <v>0</v>
      </c>
      <c r="L290" s="52"/>
      <c r="M290" s="17"/>
      <c r="AI290" s="56" t="s">
        <v>72</v>
      </c>
      <c r="AS290" s="65">
        <f>SUM(AJ291:AJ300)</f>
        <v>0</v>
      </c>
      <c r="AT290" s="65">
        <f>SUM(AK291:AK300)</f>
        <v>0</v>
      </c>
      <c r="AU290" s="65">
        <f>SUM(AL291:AL300)</f>
        <v>0</v>
      </c>
    </row>
    <row r="291" spans="1:64" x14ac:dyDescent="0.25">
      <c r="A291" s="34" t="s">
        <v>177</v>
      </c>
      <c r="B291" s="41" t="s">
        <v>366</v>
      </c>
      <c r="C291" s="146" t="s">
        <v>705</v>
      </c>
      <c r="D291" s="147"/>
      <c r="E291" s="147"/>
      <c r="F291" s="147"/>
      <c r="G291" s="147"/>
      <c r="H291" s="41" t="s">
        <v>894</v>
      </c>
      <c r="I291" s="76">
        <v>2</v>
      </c>
      <c r="J291" s="60">
        <v>0</v>
      </c>
      <c r="K291" s="60">
        <f t="shared" ref="K291:K300" si="20">I291*J291</f>
        <v>0</v>
      </c>
      <c r="L291" s="53" t="s">
        <v>906</v>
      </c>
      <c r="M291" s="17"/>
      <c r="Z291" s="28">
        <f t="shared" ref="Z291:Z300" si="21">IF(AQ291="5",BJ291,0)</f>
        <v>0</v>
      </c>
      <c r="AB291" s="28">
        <f t="shared" ref="AB291:AB300" si="22">IF(AQ291="1",BH291,0)</f>
        <v>0</v>
      </c>
      <c r="AC291" s="28">
        <f t="shared" ref="AC291:AC300" si="23">IF(AQ291="1",BI291,0)</f>
        <v>0</v>
      </c>
      <c r="AD291" s="28">
        <f t="shared" ref="AD291:AD300" si="24">IF(AQ291="7",BH291,0)</f>
        <v>0</v>
      </c>
      <c r="AE291" s="28">
        <f t="shared" ref="AE291:AE300" si="25">IF(AQ291="7",BI291,0)</f>
        <v>0</v>
      </c>
      <c r="AF291" s="28">
        <f t="shared" ref="AF291:AF300" si="26">IF(AQ291="2",BH291,0)</f>
        <v>0</v>
      </c>
      <c r="AG291" s="28">
        <f t="shared" ref="AG291:AG300" si="27">IF(AQ291="2",BI291,0)</f>
        <v>0</v>
      </c>
      <c r="AH291" s="28">
        <f t="shared" ref="AH291:AH300" si="28">IF(AQ291="0",BJ291,0)</f>
        <v>0</v>
      </c>
      <c r="AI291" s="56" t="s">
        <v>72</v>
      </c>
      <c r="AJ291" s="60">
        <f t="shared" ref="AJ291:AJ300" si="29">IF(AN291=0,K291,0)</f>
        <v>0</v>
      </c>
      <c r="AK291" s="60">
        <f t="shared" ref="AK291:AK300" si="30">IF(AN291=15,K291,0)</f>
        <v>0</v>
      </c>
      <c r="AL291" s="60">
        <f t="shared" ref="AL291:AL300" si="31">IF(AN291=21,K291,0)</f>
        <v>0</v>
      </c>
      <c r="AN291" s="28">
        <v>21</v>
      </c>
      <c r="AO291" s="28">
        <f>J291*0.924485853658537</f>
        <v>0</v>
      </c>
      <c r="AP291" s="28">
        <f>J291*(1-0.924485853658537)</f>
        <v>0</v>
      </c>
      <c r="AQ291" s="57" t="s">
        <v>88</v>
      </c>
      <c r="AV291" s="28">
        <f t="shared" ref="AV291:AV300" si="32">AW291+AX291</f>
        <v>0</v>
      </c>
      <c r="AW291" s="28">
        <f t="shared" ref="AW291:AW300" si="33">I291*AO291</f>
        <v>0</v>
      </c>
      <c r="AX291" s="28">
        <f t="shared" ref="AX291:AX300" si="34">I291*AP291</f>
        <v>0</v>
      </c>
      <c r="AY291" s="59" t="s">
        <v>935</v>
      </c>
      <c r="AZ291" s="59" t="s">
        <v>960</v>
      </c>
      <c r="BA291" s="56" t="s">
        <v>966</v>
      </c>
      <c r="BC291" s="28">
        <f t="shared" ref="BC291:BC300" si="35">AW291+AX291</f>
        <v>0</v>
      </c>
      <c r="BD291" s="28">
        <f t="shared" ref="BD291:BD300" si="36">J291/(100-BE291)*100</f>
        <v>0</v>
      </c>
      <c r="BE291" s="28">
        <v>0</v>
      </c>
      <c r="BF291" s="28">
        <f>291</f>
        <v>291</v>
      </c>
      <c r="BH291" s="60">
        <f t="shared" ref="BH291:BH300" si="37">I291*AO291</f>
        <v>0</v>
      </c>
      <c r="BI291" s="60">
        <f t="shared" ref="BI291:BI300" si="38">I291*AP291</f>
        <v>0</v>
      </c>
      <c r="BJ291" s="60">
        <f t="shared" ref="BJ291:BJ300" si="39">I291*J291</f>
        <v>0</v>
      </c>
      <c r="BK291" s="60" t="s">
        <v>971</v>
      </c>
      <c r="BL291" s="28">
        <v>735</v>
      </c>
    </row>
    <row r="292" spans="1:64" x14ac:dyDescent="0.25">
      <c r="A292" s="34" t="s">
        <v>178</v>
      </c>
      <c r="B292" s="41" t="s">
        <v>367</v>
      </c>
      <c r="C292" s="146" t="s">
        <v>706</v>
      </c>
      <c r="D292" s="147"/>
      <c r="E292" s="147"/>
      <c r="F292" s="147"/>
      <c r="G292" s="147"/>
      <c r="H292" s="41" t="s">
        <v>894</v>
      </c>
      <c r="I292" s="76">
        <v>2</v>
      </c>
      <c r="J292" s="60">
        <v>0</v>
      </c>
      <c r="K292" s="60">
        <f t="shared" si="20"/>
        <v>0</v>
      </c>
      <c r="L292" s="53" t="s">
        <v>906</v>
      </c>
      <c r="M292" s="17"/>
      <c r="Z292" s="28">
        <f t="shared" si="21"/>
        <v>0</v>
      </c>
      <c r="AB292" s="28">
        <f t="shared" si="22"/>
        <v>0</v>
      </c>
      <c r="AC292" s="28">
        <f t="shared" si="23"/>
        <v>0</v>
      </c>
      <c r="AD292" s="28">
        <f t="shared" si="24"/>
        <v>0</v>
      </c>
      <c r="AE292" s="28">
        <f t="shared" si="25"/>
        <v>0</v>
      </c>
      <c r="AF292" s="28">
        <f t="shared" si="26"/>
        <v>0</v>
      </c>
      <c r="AG292" s="28">
        <f t="shared" si="27"/>
        <v>0</v>
      </c>
      <c r="AH292" s="28">
        <f t="shared" si="28"/>
        <v>0</v>
      </c>
      <c r="AI292" s="56" t="s">
        <v>72</v>
      </c>
      <c r="AJ292" s="60">
        <f t="shared" si="29"/>
        <v>0</v>
      </c>
      <c r="AK292" s="60">
        <f t="shared" si="30"/>
        <v>0</v>
      </c>
      <c r="AL292" s="60">
        <f t="shared" si="31"/>
        <v>0</v>
      </c>
      <c r="AN292" s="28">
        <v>21</v>
      </c>
      <c r="AO292" s="28">
        <f>J292*0.894821212121212</f>
        <v>0</v>
      </c>
      <c r="AP292" s="28">
        <f>J292*(1-0.894821212121212)</f>
        <v>0</v>
      </c>
      <c r="AQ292" s="57" t="s">
        <v>88</v>
      </c>
      <c r="AV292" s="28">
        <f t="shared" si="32"/>
        <v>0</v>
      </c>
      <c r="AW292" s="28">
        <f t="shared" si="33"/>
        <v>0</v>
      </c>
      <c r="AX292" s="28">
        <f t="shared" si="34"/>
        <v>0</v>
      </c>
      <c r="AY292" s="59" t="s">
        <v>935</v>
      </c>
      <c r="AZ292" s="59" t="s">
        <v>960</v>
      </c>
      <c r="BA292" s="56" t="s">
        <v>966</v>
      </c>
      <c r="BC292" s="28">
        <f t="shared" si="35"/>
        <v>0</v>
      </c>
      <c r="BD292" s="28">
        <f t="shared" si="36"/>
        <v>0</v>
      </c>
      <c r="BE292" s="28">
        <v>0</v>
      </c>
      <c r="BF292" s="28">
        <f>292</f>
        <v>292</v>
      </c>
      <c r="BH292" s="60">
        <f t="shared" si="37"/>
        <v>0</v>
      </c>
      <c r="BI292" s="60">
        <f t="shared" si="38"/>
        <v>0</v>
      </c>
      <c r="BJ292" s="60">
        <f t="shared" si="39"/>
        <v>0</v>
      </c>
      <c r="BK292" s="60" t="s">
        <v>971</v>
      </c>
      <c r="BL292" s="28">
        <v>735</v>
      </c>
    </row>
    <row r="293" spans="1:64" x14ac:dyDescent="0.25">
      <c r="A293" s="34" t="s">
        <v>179</v>
      </c>
      <c r="B293" s="41" t="s">
        <v>368</v>
      </c>
      <c r="C293" s="146" t="s">
        <v>707</v>
      </c>
      <c r="D293" s="147"/>
      <c r="E293" s="147"/>
      <c r="F293" s="147"/>
      <c r="G293" s="147"/>
      <c r="H293" s="41" t="s">
        <v>894</v>
      </c>
      <c r="I293" s="76">
        <v>2</v>
      </c>
      <c r="J293" s="60">
        <v>0</v>
      </c>
      <c r="K293" s="60">
        <f t="shared" si="20"/>
        <v>0</v>
      </c>
      <c r="L293" s="53" t="s">
        <v>906</v>
      </c>
      <c r="M293" s="17"/>
      <c r="Z293" s="28">
        <f t="shared" si="21"/>
        <v>0</v>
      </c>
      <c r="AB293" s="28">
        <f t="shared" si="22"/>
        <v>0</v>
      </c>
      <c r="AC293" s="28">
        <f t="shared" si="23"/>
        <v>0</v>
      </c>
      <c r="AD293" s="28">
        <f t="shared" si="24"/>
        <v>0</v>
      </c>
      <c r="AE293" s="28">
        <f t="shared" si="25"/>
        <v>0</v>
      </c>
      <c r="AF293" s="28">
        <f t="shared" si="26"/>
        <v>0</v>
      </c>
      <c r="AG293" s="28">
        <f t="shared" si="27"/>
        <v>0</v>
      </c>
      <c r="AH293" s="28">
        <f t="shared" si="28"/>
        <v>0</v>
      </c>
      <c r="AI293" s="56" t="s">
        <v>72</v>
      </c>
      <c r="AJ293" s="60">
        <f t="shared" si="29"/>
        <v>0</v>
      </c>
      <c r="AK293" s="60">
        <f t="shared" si="30"/>
        <v>0</v>
      </c>
      <c r="AL293" s="60">
        <f t="shared" si="31"/>
        <v>0</v>
      </c>
      <c r="AN293" s="28">
        <v>21</v>
      </c>
      <c r="AO293" s="28">
        <f>J293*0.90893935483871</f>
        <v>0</v>
      </c>
      <c r="AP293" s="28">
        <f>J293*(1-0.90893935483871)</f>
        <v>0</v>
      </c>
      <c r="AQ293" s="57" t="s">
        <v>88</v>
      </c>
      <c r="AV293" s="28">
        <f t="shared" si="32"/>
        <v>0</v>
      </c>
      <c r="AW293" s="28">
        <f t="shared" si="33"/>
        <v>0</v>
      </c>
      <c r="AX293" s="28">
        <f t="shared" si="34"/>
        <v>0</v>
      </c>
      <c r="AY293" s="59" t="s">
        <v>935</v>
      </c>
      <c r="AZ293" s="59" t="s">
        <v>960</v>
      </c>
      <c r="BA293" s="56" t="s">
        <v>966</v>
      </c>
      <c r="BC293" s="28">
        <f t="shared" si="35"/>
        <v>0</v>
      </c>
      <c r="BD293" s="28">
        <f t="shared" si="36"/>
        <v>0</v>
      </c>
      <c r="BE293" s="28">
        <v>0</v>
      </c>
      <c r="BF293" s="28">
        <f>293</f>
        <v>293</v>
      </c>
      <c r="BH293" s="60">
        <f t="shared" si="37"/>
        <v>0</v>
      </c>
      <c r="BI293" s="60">
        <f t="shared" si="38"/>
        <v>0</v>
      </c>
      <c r="BJ293" s="60">
        <f t="shared" si="39"/>
        <v>0</v>
      </c>
      <c r="BK293" s="60" t="s">
        <v>971</v>
      </c>
      <c r="BL293" s="28">
        <v>735</v>
      </c>
    </row>
    <row r="294" spans="1:64" x14ac:dyDescent="0.25">
      <c r="A294" s="34" t="s">
        <v>180</v>
      </c>
      <c r="B294" s="41" t="s">
        <v>369</v>
      </c>
      <c r="C294" s="146" t="s">
        <v>708</v>
      </c>
      <c r="D294" s="147"/>
      <c r="E294" s="147"/>
      <c r="F294" s="147"/>
      <c r="G294" s="147"/>
      <c r="H294" s="41" t="s">
        <v>894</v>
      </c>
      <c r="I294" s="76">
        <v>3</v>
      </c>
      <c r="J294" s="60">
        <v>0</v>
      </c>
      <c r="K294" s="60">
        <f t="shared" si="20"/>
        <v>0</v>
      </c>
      <c r="L294" s="53" t="s">
        <v>906</v>
      </c>
      <c r="M294" s="17"/>
      <c r="Z294" s="28">
        <f t="shared" si="21"/>
        <v>0</v>
      </c>
      <c r="AB294" s="28">
        <f t="shared" si="22"/>
        <v>0</v>
      </c>
      <c r="AC294" s="28">
        <f t="shared" si="23"/>
        <v>0</v>
      </c>
      <c r="AD294" s="28">
        <f t="shared" si="24"/>
        <v>0</v>
      </c>
      <c r="AE294" s="28">
        <f t="shared" si="25"/>
        <v>0</v>
      </c>
      <c r="AF294" s="28">
        <f t="shared" si="26"/>
        <v>0</v>
      </c>
      <c r="AG294" s="28">
        <f t="shared" si="27"/>
        <v>0</v>
      </c>
      <c r="AH294" s="28">
        <f t="shared" si="28"/>
        <v>0</v>
      </c>
      <c r="AI294" s="56" t="s">
        <v>72</v>
      </c>
      <c r="AJ294" s="60">
        <f t="shared" si="29"/>
        <v>0</v>
      </c>
      <c r="AK294" s="60">
        <f t="shared" si="30"/>
        <v>0</v>
      </c>
      <c r="AL294" s="60">
        <f t="shared" si="31"/>
        <v>0</v>
      </c>
      <c r="AN294" s="28">
        <v>21</v>
      </c>
      <c r="AO294" s="28">
        <f>J294*0.921033881897386</f>
        <v>0</v>
      </c>
      <c r="AP294" s="28">
        <f>J294*(1-0.921033881897386)</f>
        <v>0</v>
      </c>
      <c r="AQ294" s="57" t="s">
        <v>88</v>
      </c>
      <c r="AV294" s="28">
        <f t="shared" si="32"/>
        <v>0</v>
      </c>
      <c r="AW294" s="28">
        <f t="shared" si="33"/>
        <v>0</v>
      </c>
      <c r="AX294" s="28">
        <f t="shared" si="34"/>
        <v>0</v>
      </c>
      <c r="AY294" s="59" t="s">
        <v>935</v>
      </c>
      <c r="AZ294" s="59" t="s">
        <v>960</v>
      </c>
      <c r="BA294" s="56" t="s">
        <v>966</v>
      </c>
      <c r="BC294" s="28">
        <f t="shared" si="35"/>
        <v>0</v>
      </c>
      <c r="BD294" s="28">
        <f t="shared" si="36"/>
        <v>0</v>
      </c>
      <c r="BE294" s="28">
        <v>0</v>
      </c>
      <c r="BF294" s="28">
        <f>294</f>
        <v>294</v>
      </c>
      <c r="BH294" s="60">
        <f t="shared" si="37"/>
        <v>0</v>
      </c>
      <c r="BI294" s="60">
        <f t="shared" si="38"/>
        <v>0</v>
      </c>
      <c r="BJ294" s="60">
        <f t="shared" si="39"/>
        <v>0</v>
      </c>
      <c r="BK294" s="60" t="s">
        <v>971</v>
      </c>
      <c r="BL294" s="28">
        <v>735</v>
      </c>
    </row>
    <row r="295" spans="1:64" x14ac:dyDescent="0.25">
      <c r="A295" s="34" t="s">
        <v>181</v>
      </c>
      <c r="B295" s="41" t="s">
        <v>370</v>
      </c>
      <c r="C295" s="146" t="s">
        <v>709</v>
      </c>
      <c r="D295" s="147"/>
      <c r="E295" s="147"/>
      <c r="F295" s="147"/>
      <c r="G295" s="147"/>
      <c r="H295" s="41" t="s">
        <v>894</v>
      </c>
      <c r="I295" s="76">
        <v>3</v>
      </c>
      <c r="J295" s="60">
        <v>0</v>
      </c>
      <c r="K295" s="60">
        <f t="shared" si="20"/>
        <v>0</v>
      </c>
      <c r="L295" s="53" t="s">
        <v>906</v>
      </c>
      <c r="M295" s="17"/>
      <c r="Z295" s="28">
        <f t="shared" si="21"/>
        <v>0</v>
      </c>
      <c r="AB295" s="28">
        <f t="shared" si="22"/>
        <v>0</v>
      </c>
      <c r="AC295" s="28">
        <f t="shared" si="23"/>
        <v>0</v>
      </c>
      <c r="AD295" s="28">
        <f t="shared" si="24"/>
        <v>0</v>
      </c>
      <c r="AE295" s="28">
        <f t="shared" si="25"/>
        <v>0</v>
      </c>
      <c r="AF295" s="28">
        <f t="shared" si="26"/>
        <v>0</v>
      </c>
      <c r="AG295" s="28">
        <f t="shared" si="27"/>
        <v>0</v>
      </c>
      <c r="AH295" s="28">
        <f t="shared" si="28"/>
        <v>0</v>
      </c>
      <c r="AI295" s="56" t="s">
        <v>72</v>
      </c>
      <c r="AJ295" s="60">
        <f t="shared" si="29"/>
        <v>0</v>
      </c>
      <c r="AK295" s="60">
        <f t="shared" si="30"/>
        <v>0</v>
      </c>
      <c r="AL295" s="60">
        <f t="shared" si="31"/>
        <v>0</v>
      </c>
      <c r="AN295" s="28">
        <v>21</v>
      </c>
      <c r="AO295" s="28">
        <f>J295*0.912551881413911</f>
        <v>0</v>
      </c>
      <c r="AP295" s="28">
        <f>J295*(1-0.912551881413911)</f>
        <v>0</v>
      </c>
      <c r="AQ295" s="57" t="s">
        <v>88</v>
      </c>
      <c r="AV295" s="28">
        <f t="shared" si="32"/>
        <v>0</v>
      </c>
      <c r="AW295" s="28">
        <f t="shared" si="33"/>
        <v>0</v>
      </c>
      <c r="AX295" s="28">
        <f t="shared" si="34"/>
        <v>0</v>
      </c>
      <c r="AY295" s="59" t="s">
        <v>935</v>
      </c>
      <c r="AZ295" s="59" t="s">
        <v>960</v>
      </c>
      <c r="BA295" s="56" t="s">
        <v>966</v>
      </c>
      <c r="BC295" s="28">
        <f t="shared" si="35"/>
        <v>0</v>
      </c>
      <c r="BD295" s="28">
        <f t="shared" si="36"/>
        <v>0</v>
      </c>
      <c r="BE295" s="28">
        <v>0</v>
      </c>
      <c r="BF295" s="28">
        <f>295</f>
        <v>295</v>
      </c>
      <c r="BH295" s="60">
        <f t="shared" si="37"/>
        <v>0</v>
      </c>
      <c r="BI295" s="60">
        <f t="shared" si="38"/>
        <v>0</v>
      </c>
      <c r="BJ295" s="60">
        <f t="shared" si="39"/>
        <v>0</v>
      </c>
      <c r="BK295" s="60" t="s">
        <v>971</v>
      </c>
      <c r="BL295" s="28">
        <v>735</v>
      </c>
    </row>
    <row r="296" spans="1:64" x14ac:dyDescent="0.25">
      <c r="A296" s="34" t="s">
        <v>182</v>
      </c>
      <c r="B296" s="41" t="s">
        <v>371</v>
      </c>
      <c r="C296" s="146" t="s">
        <v>710</v>
      </c>
      <c r="D296" s="147"/>
      <c r="E296" s="147"/>
      <c r="F296" s="147"/>
      <c r="G296" s="147"/>
      <c r="H296" s="41" t="s">
        <v>894</v>
      </c>
      <c r="I296" s="76">
        <v>2</v>
      </c>
      <c r="J296" s="60">
        <v>0</v>
      </c>
      <c r="K296" s="60">
        <f t="shared" si="20"/>
        <v>0</v>
      </c>
      <c r="L296" s="53" t="s">
        <v>906</v>
      </c>
      <c r="M296" s="17"/>
      <c r="Z296" s="28">
        <f t="shared" si="21"/>
        <v>0</v>
      </c>
      <c r="AB296" s="28">
        <f t="shared" si="22"/>
        <v>0</v>
      </c>
      <c r="AC296" s="28">
        <f t="shared" si="23"/>
        <v>0</v>
      </c>
      <c r="AD296" s="28">
        <f t="shared" si="24"/>
        <v>0</v>
      </c>
      <c r="AE296" s="28">
        <f t="shared" si="25"/>
        <v>0</v>
      </c>
      <c r="AF296" s="28">
        <f t="shared" si="26"/>
        <v>0</v>
      </c>
      <c r="AG296" s="28">
        <f t="shared" si="27"/>
        <v>0</v>
      </c>
      <c r="AH296" s="28">
        <f t="shared" si="28"/>
        <v>0</v>
      </c>
      <c r="AI296" s="56" t="s">
        <v>72</v>
      </c>
      <c r="AJ296" s="60">
        <f t="shared" si="29"/>
        <v>0</v>
      </c>
      <c r="AK296" s="60">
        <f t="shared" si="30"/>
        <v>0</v>
      </c>
      <c r="AL296" s="60">
        <f t="shared" si="31"/>
        <v>0</v>
      </c>
      <c r="AN296" s="28">
        <v>21</v>
      </c>
      <c r="AO296" s="28">
        <f>J296*0.921347368421053</f>
        <v>0</v>
      </c>
      <c r="AP296" s="28">
        <f>J296*(1-0.921347368421053)</f>
        <v>0</v>
      </c>
      <c r="AQ296" s="57" t="s">
        <v>88</v>
      </c>
      <c r="AV296" s="28">
        <f t="shared" si="32"/>
        <v>0</v>
      </c>
      <c r="AW296" s="28">
        <f t="shared" si="33"/>
        <v>0</v>
      </c>
      <c r="AX296" s="28">
        <f t="shared" si="34"/>
        <v>0</v>
      </c>
      <c r="AY296" s="59" t="s">
        <v>935</v>
      </c>
      <c r="AZ296" s="59" t="s">
        <v>960</v>
      </c>
      <c r="BA296" s="56" t="s">
        <v>966</v>
      </c>
      <c r="BC296" s="28">
        <f t="shared" si="35"/>
        <v>0</v>
      </c>
      <c r="BD296" s="28">
        <f t="shared" si="36"/>
        <v>0</v>
      </c>
      <c r="BE296" s="28">
        <v>0</v>
      </c>
      <c r="BF296" s="28">
        <f>296</f>
        <v>296</v>
      </c>
      <c r="BH296" s="60">
        <f t="shared" si="37"/>
        <v>0</v>
      </c>
      <c r="BI296" s="60">
        <f t="shared" si="38"/>
        <v>0</v>
      </c>
      <c r="BJ296" s="60">
        <f t="shared" si="39"/>
        <v>0</v>
      </c>
      <c r="BK296" s="60" t="s">
        <v>971</v>
      </c>
      <c r="BL296" s="28">
        <v>735</v>
      </c>
    </row>
    <row r="297" spans="1:64" x14ac:dyDescent="0.25">
      <c r="A297" s="34" t="s">
        <v>183</v>
      </c>
      <c r="B297" s="41" t="s">
        <v>372</v>
      </c>
      <c r="C297" s="146" t="s">
        <v>711</v>
      </c>
      <c r="D297" s="147"/>
      <c r="E297" s="147"/>
      <c r="F297" s="147"/>
      <c r="G297" s="147"/>
      <c r="H297" s="41" t="s">
        <v>894</v>
      </c>
      <c r="I297" s="76">
        <v>1</v>
      </c>
      <c r="J297" s="60">
        <v>0</v>
      </c>
      <c r="K297" s="60">
        <f t="shared" si="20"/>
        <v>0</v>
      </c>
      <c r="L297" s="53" t="s">
        <v>906</v>
      </c>
      <c r="M297" s="17"/>
      <c r="Z297" s="28">
        <f t="shared" si="21"/>
        <v>0</v>
      </c>
      <c r="AB297" s="28">
        <f t="shared" si="22"/>
        <v>0</v>
      </c>
      <c r="AC297" s="28">
        <f t="shared" si="23"/>
        <v>0</v>
      </c>
      <c r="AD297" s="28">
        <f t="shared" si="24"/>
        <v>0</v>
      </c>
      <c r="AE297" s="28">
        <f t="shared" si="25"/>
        <v>0</v>
      </c>
      <c r="AF297" s="28">
        <f t="shared" si="26"/>
        <v>0</v>
      </c>
      <c r="AG297" s="28">
        <f t="shared" si="27"/>
        <v>0</v>
      </c>
      <c r="AH297" s="28">
        <f t="shared" si="28"/>
        <v>0</v>
      </c>
      <c r="AI297" s="56" t="s">
        <v>72</v>
      </c>
      <c r="AJ297" s="60">
        <f t="shared" si="29"/>
        <v>0</v>
      </c>
      <c r="AK297" s="60">
        <f t="shared" si="30"/>
        <v>0</v>
      </c>
      <c r="AL297" s="60">
        <f t="shared" si="31"/>
        <v>0</v>
      </c>
      <c r="AN297" s="28">
        <v>21</v>
      </c>
      <c r="AO297" s="28">
        <f>J297*0.881646129541864</f>
        <v>0</v>
      </c>
      <c r="AP297" s="28">
        <f>J297*(1-0.881646129541864)</f>
        <v>0</v>
      </c>
      <c r="AQ297" s="57" t="s">
        <v>88</v>
      </c>
      <c r="AV297" s="28">
        <f t="shared" si="32"/>
        <v>0</v>
      </c>
      <c r="AW297" s="28">
        <f t="shared" si="33"/>
        <v>0</v>
      </c>
      <c r="AX297" s="28">
        <f t="shared" si="34"/>
        <v>0</v>
      </c>
      <c r="AY297" s="59" t="s">
        <v>935</v>
      </c>
      <c r="AZ297" s="59" t="s">
        <v>960</v>
      </c>
      <c r="BA297" s="56" t="s">
        <v>966</v>
      </c>
      <c r="BC297" s="28">
        <f t="shared" si="35"/>
        <v>0</v>
      </c>
      <c r="BD297" s="28">
        <f t="shared" si="36"/>
        <v>0</v>
      </c>
      <c r="BE297" s="28">
        <v>0</v>
      </c>
      <c r="BF297" s="28">
        <f>297</f>
        <v>297</v>
      </c>
      <c r="BH297" s="60">
        <f t="shared" si="37"/>
        <v>0</v>
      </c>
      <c r="BI297" s="60">
        <f t="shared" si="38"/>
        <v>0</v>
      </c>
      <c r="BJ297" s="60">
        <f t="shared" si="39"/>
        <v>0</v>
      </c>
      <c r="BK297" s="60" t="s">
        <v>971</v>
      </c>
      <c r="BL297" s="28">
        <v>735</v>
      </c>
    </row>
    <row r="298" spans="1:64" x14ac:dyDescent="0.25">
      <c r="A298" s="34" t="s">
        <v>184</v>
      </c>
      <c r="B298" s="41" t="s">
        <v>373</v>
      </c>
      <c r="C298" s="146" t="s">
        <v>712</v>
      </c>
      <c r="D298" s="147"/>
      <c r="E298" s="147"/>
      <c r="F298" s="147"/>
      <c r="G298" s="147"/>
      <c r="H298" s="41" t="s">
        <v>894</v>
      </c>
      <c r="I298" s="76">
        <v>3</v>
      </c>
      <c r="J298" s="60">
        <v>0</v>
      </c>
      <c r="K298" s="60">
        <f t="shared" si="20"/>
        <v>0</v>
      </c>
      <c r="L298" s="53" t="s">
        <v>906</v>
      </c>
      <c r="M298" s="17"/>
      <c r="Z298" s="28">
        <f t="shared" si="21"/>
        <v>0</v>
      </c>
      <c r="AB298" s="28">
        <f t="shared" si="22"/>
        <v>0</v>
      </c>
      <c r="AC298" s="28">
        <f t="shared" si="23"/>
        <v>0</v>
      </c>
      <c r="AD298" s="28">
        <f t="shared" si="24"/>
        <v>0</v>
      </c>
      <c r="AE298" s="28">
        <f t="shared" si="25"/>
        <v>0</v>
      </c>
      <c r="AF298" s="28">
        <f t="shared" si="26"/>
        <v>0</v>
      </c>
      <c r="AG298" s="28">
        <f t="shared" si="27"/>
        <v>0</v>
      </c>
      <c r="AH298" s="28">
        <f t="shared" si="28"/>
        <v>0</v>
      </c>
      <c r="AI298" s="56" t="s">
        <v>72</v>
      </c>
      <c r="AJ298" s="60">
        <f t="shared" si="29"/>
        <v>0</v>
      </c>
      <c r="AK298" s="60">
        <f t="shared" si="30"/>
        <v>0</v>
      </c>
      <c r="AL298" s="60">
        <f t="shared" si="31"/>
        <v>0</v>
      </c>
      <c r="AN298" s="28">
        <v>21</v>
      </c>
      <c r="AO298" s="28">
        <f>J298*0.858899641577061</f>
        <v>0</v>
      </c>
      <c r="AP298" s="28">
        <f>J298*(1-0.858899641577061)</f>
        <v>0</v>
      </c>
      <c r="AQ298" s="57" t="s">
        <v>88</v>
      </c>
      <c r="AV298" s="28">
        <f t="shared" si="32"/>
        <v>0</v>
      </c>
      <c r="AW298" s="28">
        <f t="shared" si="33"/>
        <v>0</v>
      </c>
      <c r="AX298" s="28">
        <f t="shared" si="34"/>
        <v>0</v>
      </c>
      <c r="AY298" s="59" t="s">
        <v>935</v>
      </c>
      <c r="AZ298" s="59" t="s">
        <v>960</v>
      </c>
      <c r="BA298" s="56" t="s">
        <v>966</v>
      </c>
      <c r="BC298" s="28">
        <f t="shared" si="35"/>
        <v>0</v>
      </c>
      <c r="BD298" s="28">
        <f t="shared" si="36"/>
        <v>0</v>
      </c>
      <c r="BE298" s="28">
        <v>0</v>
      </c>
      <c r="BF298" s="28">
        <f>298</f>
        <v>298</v>
      </c>
      <c r="BH298" s="60">
        <f t="shared" si="37"/>
        <v>0</v>
      </c>
      <c r="BI298" s="60">
        <f t="shared" si="38"/>
        <v>0</v>
      </c>
      <c r="BJ298" s="60">
        <f t="shared" si="39"/>
        <v>0</v>
      </c>
      <c r="BK298" s="60" t="s">
        <v>971</v>
      </c>
      <c r="BL298" s="28">
        <v>735</v>
      </c>
    </row>
    <row r="299" spans="1:64" x14ac:dyDescent="0.25">
      <c r="A299" s="34" t="s">
        <v>185</v>
      </c>
      <c r="B299" s="41" t="s">
        <v>374</v>
      </c>
      <c r="C299" s="146" t="s">
        <v>713</v>
      </c>
      <c r="D299" s="147"/>
      <c r="E299" s="147"/>
      <c r="F299" s="147"/>
      <c r="G299" s="147"/>
      <c r="H299" s="41" t="s">
        <v>894</v>
      </c>
      <c r="I299" s="76">
        <v>2</v>
      </c>
      <c r="J299" s="60">
        <v>0</v>
      </c>
      <c r="K299" s="60">
        <f t="shared" si="20"/>
        <v>0</v>
      </c>
      <c r="L299" s="53" t="s">
        <v>906</v>
      </c>
      <c r="M299" s="17"/>
      <c r="Z299" s="28">
        <f t="shared" si="21"/>
        <v>0</v>
      </c>
      <c r="AB299" s="28">
        <f t="shared" si="22"/>
        <v>0</v>
      </c>
      <c r="AC299" s="28">
        <f t="shared" si="23"/>
        <v>0</v>
      </c>
      <c r="AD299" s="28">
        <f t="shared" si="24"/>
        <v>0</v>
      </c>
      <c r="AE299" s="28">
        <f t="shared" si="25"/>
        <v>0</v>
      </c>
      <c r="AF299" s="28">
        <f t="shared" si="26"/>
        <v>0</v>
      </c>
      <c r="AG299" s="28">
        <f t="shared" si="27"/>
        <v>0</v>
      </c>
      <c r="AH299" s="28">
        <f t="shared" si="28"/>
        <v>0</v>
      </c>
      <c r="AI299" s="56" t="s">
        <v>72</v>
      </c>
      <c r="AJ299" s="60">
        <f t="shared" si="29"/>
        <v>0</v>
      </c>
      <c r="AK299" s="60">
        <f t="shared" si="30"/>
        <v>0</v>
      </c>
      <c r="AL299" s="60">
        <f t="shared" si="31"/>
        <v>0</v>
      </c>
      <c r="AN299" s="28">
        <v>21</v>
      </c>
      <c r="AO299" s="28">
        <f>J299*0.884045335658239</f>
        <v>0</v>
      </c>
      <c r="AP299" s="28">
        <f>J299*(1-0.884045335658239)</f>
        <v>0</v>
      </c>
      <c r="AQ299" s="57" t="s">
        <v>88</v>
      </c>
      <c r="AV299" s="28">
        <f t="shared" si="32"/>
        <v>0</v>
      </c>
      <c r="AW299" s="28">
        <f t="shared" si="33"/>
        <v>0</v>
      </c>
      <c r="AX299" s="28">
        <f t="shared" si="34"/>
        <v>0</v>
      </c>
      <c r="AY299" s="59" t="s">
        <v>935</v>
      </c>
      <c r="AZ299" s="59" t="s">
        <v>960</v>
      </c>
      <c r="BA299" s="56" t="s">
        <v>966</v>
      </c>
      <c r="BC299" s="28">
        <f t="shared" si="35"/>
        <v>0</v>
      </c>
      <c r="BD299" s="28">
        <f t="shared" si="36"/>
        <v>0</v>
      </c>
      <c r="BE299" s="28">
        <v>0</v>
      </c>
      <c r="BF299" s="28">
        <f>299</f>
        <v>299</v>
      </c>
      <c r="BH299" s="60">
        <f t="shared" si="37"/>
        <v>0</v>
      </c>
      <c r="BI299" s="60">
        <f t="shared" si="38"/>
        <v>0</v>
      </c>
      <c r="BJ299" s="60">
        <f t="shared" si="39"/>
        <v>0</v>
      </c>
      <c r="BK299" s="60" t="s">
        <v>971</v>
      </c>
      <c r="BL299" s="28">
        <v>735</v>
      </c>
    </row>
    <row r="300" spans="1:64" x14ac:dyDescent="0.25">
      <c r="A300" s="34" t="s">
        <v>186</v>
      </c>
      <c r="B300" s="41" t="s">
        <v>375</v>
      </c>
      <c r="C300" s="146" t="s">
        <v>714</v>
      </c>
      <c r="D300" s="147"/>
      <c r="E300" s="147"/>
      <c r="F300" s="147"/>
      <c r="G300" s="147"/>
      <c r="H300" s="41" t="s">
        <v>894</v>
      </c>
      <c r="I300" s="76">
        <v>2</v>
      </c>
      <c r="J300" s="60">
        <v>0</v>
      </c>
      <c r="K300" s="60">
        <f t="shared" si="20"/>
        <v>0</v>
      </c>
      <c r="L300" s="53" t="s">
        <v>906</v>
      </c>
      <c r="M300" s="17"/>
      <c r="Z300" s="28">
        <f t="shared" si="21"/>
        <v>0</v>
      </c>
      <c r="AB300" s="28">
        <f t="shared" si="22"/>
        <v>0</v>
      </c>
      <c r="AC300" s="28">
        <f t="shared" si="23"/>
        <v>0</v>
      </c>
      <c r="AD300" s="28">
        <f t="shared" si="24"/>
        <v>0</v>
      </c>
      <c r="AE300" s="28">
        <f t="shared" si="25"/>
        <v>0</v>
      </c>
      <c r="AF300" s="28">
        <f t="shared" si="26"/>
        <v>0</v>
      </c>
      <c r="AG300" s="28">
        <f t="shared" si="27"/>
        <v>0</v>
      </c>
      <c r="AH300" s="28">
        <f t="shared" si="28"/>
        <v>0</v>
      </c>
      <c r="AI300" s="56" t="s">
        <v>72</v>
      </c>
      <c r="AJ300" s="60">
        <f t="shared" si="29"/>
        <v>0</v>
      </c>
      <c r="AK300" s="60">
        <f t="shared" si="30"/>
        <v>0</v>
      </c>
      <c r="AL300" s="60">
        <f t="shared" si="31"/>
        <v>0</v>
      </c>
      <c r="AN300" s="28">
        <v>21</v>
      </c>
      <c r="AO300" s="28">
        <f>J300*0.883394000251036</f>
        <v>0</v>
      </c>
      <c r="AP300" s="28">
        <f>J300*(1-0.883394000251036)</f>
        <v>0</v>
      </c>
      <c r="AQ300" s="57" t="s">
        <v>88</v>
      </c>
      <c r="AV300" s="28">
        <f t="shared" si="32"/>
        <v>0</v>
      </c>
      <c r="AW300" s="28">
        <f t="shared" si="33"/>
        <v>0</v>
      </c>
      <c r="AX300" s="28">
        <f t="shared" si="34"/>
        <v>0</v>
      </c>
      <c r="AY300" s="59" t="s">
        <v>935</v>
      </c>
      <c r="AZ300" s="59" t="s">
        <v>960</v>
      </c>
      <c r="BA300" s="56" t="s">
        <v>966</v>
      </c>
      <c r="BC300" s="28">
        <f t="shared" si="35"/>
        <v>0</v>
      </c>
      <c r="BD300" s="28">
        <f t="shared" si="36"/>
        <v>0</v>
      </c>
      <c r="BE300" s="28">
        <v>0</v>
      </c>
      <c r="BF300" s="28">
        <f>300</f>
        <v>300</v>
      </c>
      <c r="BH300" s="60">
        <f t="shared" si="37"/>
        <v>0</v>
      </c>
      <c r="BI300" s="60">
        <f t="shared" si="38"/>
        <v>0</v>
      </c>
      <c r="BJ300" s="60">
        <f t="shared" si="39"/>
        <v>0</v>
      </c>
      <c r="BK300" s="60" t="s">
        <v>971</v>
      </c>
      <c r="BL300" s="28">
        <v>735</v>
      </c>
    </row>
    <row r="301" spans="1:64" x14ac:dyDescent="0.25">
      <c r="A301" s="33"/>
      <c r="B301" s="40" t="s">
        <v>376</v>
      </c>
      <c r="C301" s="144" t="s">
        <v>715</v>
      </c>
      <c r="D301" s="145"/>
      <c r="E301" s="145"/>
      <c r="F301" s="145"/>
      <c r="G301" s="145"/>
      <c r="H301" s="46" t="s">
        <v>58</v>
      </c>
      <c r="I301" s="46" t="s">
        <v>58</v>
      </c>
      <c r="J301" s="46" t="s">
        <v>58</v>
      </c>
      <c r="K301" s="65">
        <f>SUM(K302:K310)</f>
        <v>0</v>
      </c>
      <c r="L301" s="52"/>
      <c r="M301" s="17"/>
      <c r="AI301" s="56" t="s">
        <v>72</v>
      </c>
      <c r="AS301" s="65">
        <f>SUM(AJ302:AJ310)</f>
        <v>0</v>
      </c>
      <c r="AT301" s="65">
        <f>SUM(AK302:AK310)</f>
        <v>0</v>
      </c>
      <c r="AU301" s="65">
        <f>SUM(AL302:AL310)</f>
        <v>0</v>
      </c>
    </row>
    <row r="302" spans="1:64" x14ac:dyDescent="0.25">
      <c r="A302" s="34" t="s">
        <v>187</v>
      </c>
      <c r="B302" s="41" t="s">
        <v>377</v>
      </c>
      <c r="C302" s="146" t="s">
        <v>716</v>
      </c>
      <c r="D302" s="147"/>
      <c r="E302" s="147"/>
      <c r="F302" s="147"/>
      <c r="G302" s="147"/>
      <c r="H302" s="41" t="s">
        <v>891</v>
      </c>
      <c r="I302" s="76">
        <v>21.76</v>
      </c>
      <c r="J302" s="60">
        <v>0</v>
      </c>
      <c r="K302" s="60">
        <f>I302*J302</f>
        <v>0</v>
      </c>
      <c r="L302" s="53" t="s">
        <v>906</v>
      </c>
      <c r="M302" s="17"/>
      <c r="Z302" s="28">
        <f>IF(AQ302="5",BJ302,0)</f>
        <v>0</v>
      </c>
      <c r="AB302" s="28">
        <f>IF(AQ302="1",BH302,0)</f>
        <v>0</v>
      </c>
      <c r="AC302" s="28">
        <f>IF(AQ302="1",BI302,0)</f>
        <v>0</v>
      </c>
      <c r="AD302" s="28">
        <f>IF(AQ302="7",BH302,0)</f>
        <v>0</v>
      </c>
      <c r="AE302" s="28">
        <f>IF(AQ302="7",BI302,0)</f>
        <v>0</v>
      </c>
      <c r="AF302" s="28">
        <f>IF(AQ302="2",BH302,0)</f>
        <v>0</v>
      </c>
      <c r="AG302" s="28">
        <f>IF(AQ302="2",BI302,0)</f>
        <v>0</v>
      </c>
      <c r="AH302" s="28">
        <f>IF(AQ302="0",BJ302,0)</f>
        <v>0</v>
      </c>
      <c r="AI302" s="56" t="s">
        <v>72</v>
      </c>
      <c r="AJ302" s="60">
        <f>IF(AN302=0,K302,0)</f>
        <v>0</v>
      </c>
      <c r="AK302" s="60">
        <f>IF(AN302=15,K302,0)</f>
        <v>0</v>
      </c>
      <c r="AL302" s="60">
        <f>IF(AN302=21,K302,0)</f>
        <v>0</v>
      </c>
      <c r="AN302" s="28">
        <v>21</v>
      </c>
      <c r="AO302" s="28">
        <f>J302*0.770483472496654</f>
        <v>0</v>
      </c>
      <c r="AP302" s="28">
        <f>J302*(1-0.770483472496654)</f>
        <v>0</v>
      </c>
      <c r="AQ302" s="57" t="s">
        <v>88</v>
      </c>
      <c r="AV302" s="28">
        <f>AW302+AX302</f>
        <v>0</v>
      </c>
      <c r="AW302" s="28">
        <f>I302*AO302</f>
        <v>0</v>
      </c>
      <c r="AX302" s="28">
        <f>I302*AP302</f>
        <v>0</v>
      </c>
      <c r="AY302" s="59" t="s">
        <v>936</v>
      </c>
      <c r="AZ302" s="59" t="s">
        <v>960</v>
      </c>
      <c r="BA302" s="56" t="s">
        <v>966</v>
      </c>
      <c r="BC302" s="28">
        <f>AW302+AX302</f>
        <v>0</v>
      </c>
      <c r="BD302" s="28">
        <f>J302/(100-BE302)*100</f>
        <v>0</v>
      </c>
      <c r="BE302" s="28">
        <v>0</v>
      </c>
      <c r="BF302" s="28">
        <f>302</f>
        <v>302</v>
      </c>
      <c r="BH302" s="60">
        <f>I302*AO302</f>
        <v>0</v>
      </c>
      <c r="BI302" s="60">
        <f>I302*AP302</f>
        <v>0</v>
      </c>
      <c r="BJ302" s="60">
        <f>I302*J302</f>
        <v>0</v>
      </c>
      <c r="BK302" s="60" t="s">
        <v>971</v>
      </c>
      <c r="BL302" s="28">
        <v>736</v>
      </c>
    </row>
    <row r="303" spans="1:64" x14ac:dyDescent="0.25">
      <c r="A303" s="17"/>
      <c r="C303" s="148" t="s">
        <v>717</v>
      </c>
      <c r="D303" s="149"/>
      <c r="E303" s="149"/>
      <c r="F303" s="149"/>
      <c r="G303" s="149"/>
      <c r="I303" s="77">
        <v>10.26</v>
      </c>
      <c r="L303" s="14"/>
      <c r="M303" s="17"/>
    </row>
    <row r="304" spans="1:64" x14ac:dyDescent="0.25">
      <c r="A304" s="17"/>
      <c r="C304" s="148" t="s">
        <v>622</v>
      </c>
      <c r="D304" s="149"/>
      <c r="E304" s="149"/>
      <c r="F304" s="149"/>
      <c r="G304" s="149"/>
      <c r="I304" s="77">
        <v>11.5</v>
      </c>
      <c r="L304" s="14"/>
      <c r="M304" s="17"/>
    </row>
    <row r="305" spans="1:64" x14ac:dyDescent="0.25">
      <c r="A305" s="34" t="s">
        <v>188</v>
      </c>
      <c r="B305" s="41" t="s">
        <v>378</v>
      </c>
      <c r="C305" s="146" t="s">
        <v>718</v>
      </c>
      <c r="D305" s="147"/>
      <c r="E305" s="147"/>
      <c r="F305" s="147"/>
      <c r="G305" s="147"/>
      <c r="H305" s="41" t="s">
        <v>891</v>
      </c>
      <c r="I305" s="76">
        <v>13.76</v>
      </c>
      <c r="J305" s="60">
        <v>0</v>
      </c>
      <c r="K305" s="60">
        <f>I305*J305</f>
        <v>0</v>
      </c>
      <c r="L305" s="53" t="s">
        <v>906</v>
      </c>
      <c r="M305" s="17"/>
      <c r="Z305" s="28">
        <f>IF(AQ305="5",BJ305,0)</f>
        <v>0</v>
      </c>
      <c r="AB305" s="28">
        <f>IF(AQ305="1",BH305,0)</f>
        <v>0</v>
      </c>
      <c r="AC305" s="28">
        <f>IF(AQ305="1",BI305,0)</f>
        <v>0</v>
      </c>
      <c r="AD305" s="28">
        <f>IF(AQ305="7",BH305,0)</f>
        <v>0</v>
      </c>
      <c r="AE305" s="28">
        <f>IF(AQ305="7",BI305,0)</f>
        <v>0</v>
      </c>
      <c r="AF305" s="28">
        <f>IF(AQ305="2",BH305,0)</f>
        <v>0</v>
      </c>
      <c r="AG305" s="28">
        <f>IF(AQ305="2",BI305,0)</f>
        <v>0</v>
      </c>
      <c r="AH305" s="28">
        <f>IF(AQ305="0",BJ305,0)</f>
        <v>0</v>
      </c>
      <c r="AI305" s="56" t="s">
        <v>72</v>
      </c>
      <c r="AJ305" s="60">
        <f>IF(AN305=0,K305,0)</f>
        <v>0</v>
      </c>
      <c r="AK305" s="60">
        <f>IF(AN305=15,K305,0)</f>
        <v>0</v>
      </c>
      <c r="AL305" s="60">
        <f>IF(AN305=21,K305,0)</f>
        <v>0</v>
      </c>
      <c r="AN305" s="28">
        <v>21</v>
      </c>
      <c r="AO305" s="28">
        <f>J305*0.444019524747139</f>
        <v>0</v>
      </c>
      <c r="AP305" s="28">
        <f>J305*(1-0.444019524747139)</f>
        <v>0</v>
      </c>
      <c r="AQ305" s="57" t="s">
        <v>88</v>
      </c>
      <c r="AV305" s="28">
        <f>AW305+AX305</f>
        <v>0</v>
      </c>
      <c r="AW305" s="28">
        <f>I305*AO305</f>
        <v>0</v>
      </c>
      <c r="AX305" s="28">
        <f>I305*AP305</f>
        <v>0</v>
      </c>
      <c r="AY305" s="59" t="s">
        <v>936</v>
      </c>
      <c r="AZ305" s="59" t="s">
        <v>960</v>
      </c>
      <c r="BA305" s="56" t="s">
        <v>966</v>
      </c>
      <c r="BC305" s="28">
        <f>AW305+AX305</f>
        <v>0</v>
      </c>
      <c r="BD305" s="28">
        <f>J305/(100-BE305)*100</f>
        <v>0</v>
      </c>
      <c r="BE305" s="28">
        <v>0</v>
      </c>
      <c r="BF305" s="28">
        <f>305</f>
        <v>305</v>
      </c>
      <c r="BH305" s="60">
        <f>I305*AO305</f>
        <v>0</v>
      </c>
      <c r="BI305" s="60">
        <f>I305*AP305</f>
        <v>0</v>
      </c>
      <c r="BJ305" s="60">
        <f>I305*J305</f>
        <v>0</v>
      </c>
      <c r="BK305" s="60" t="s">
        <v>971</v>
      </c>
      <c r="BL305" s="28">
        <v>736</v>
      </c>
    </row>
    <row r="306" spans="1:64" x14ac:dyDescent="0.25">
      <c r="A306" s="17"/>
      <c r="B306" s="42" t="s">
        <v>265</v>
      </c>
      <c r="C306" s="150" t="s">
        <v>719</v>
      </c>
      <c r="D306" s="151"/>
      <c r="E306" s="151"/>
      <c r="F306" s="151"/>
      <c r="G306" s="151"/>
      <c r="H306" s="151"/>
      <c r="I306" s="151"/>
      <c r="J306" s="151"/>
      <c r="K306" s="151"/>
      <c r="L306" s="152"/>
      <c r="M306" s="17"/>
    </row>
    <row r="307" spans="1:64" x14ac:dyDescent="0.25">
      <c r="A307" s="17"/>
      <c r="C307" s="148" t="s">
        <v>720</v>
      </c>
      <c r="D307" s="149"/>
      <c r="E307" s="149"/>
      <c r="F307" s="149"/>
      <c r="G307" s="149"/>
      <c r="I307" s="77">
        <v>0</v>
      </c>
      <c r="L307" s="14"/>
      <c r="M307" s="17"/>
    </row>
    <row r="308" spans="1:64" x14ac:dyDescent="0.25">
      <c r="A308" s="17"/>
      <c r="C308" s="148" t="s">
        <v>721</v>
      </c>
      <c r="D308" s="149"/>
      <c r="E308" s="149"/>
      <c r="F308" s="149"/>
      <c r="G308" s="149"/>
      <c r="I308" s="77">
        <v>4.3600000000000003</v>
      </c>
      <c r="L308" s="14"/>
      <c r="M308" s="17"/>
    </row>
    <row r="309" spans="1:64" x14ac:dyDescent="0.25">
      <c r="A309" s="17"/>
      <c r="C309" s="148" t="s">
        <v>722</v>
      </c>
      <c r="D309" s="149"/>
      <c r="E309" s="149"/>
      <c r="F309" s="149"/>
      <c r="G309" s="149"/>
      <c r="I309" s="77">
        <v>9.4</v>
      </c>
      <c r="L309" s="14"/>
      <c r="M309" s="17"/>
    </row>
    <row r="310" spans="1:64" x14ac:dyDescent="0.25">
      <c r="A310" s="34" t="s">
        <v>189</v>
      </c>
      <c r="B310" s="41" t="s">
        <v>379</v>
      </c>
      <c r="C310" s="146" t="s">
        <v>723</v>
      </c>
      <c r="D310" s="147"/>
      <c r="E310" s="147"/>
      <c r="F310" s="147"/>
      <c r="G310" s="147"/>
      <c r="H310" s="41" t="s">
        <v>894</v>
      </c>
      <c r="I310" s="76">
        <v>3</v>
      </c>
      <c r="J310" s="60">
        <v>0</v>
      </c>
      <c r="K310" s="60">
        <f>I310*J310</f>
        <v>0</v>
      </c>
      <c r="L310" s="53" t="s">
        <v>906</v>
      </c>
      <c r="M310" s="17"/>
      <c r="Z310" s="28">
        <f>IF(AQ310="5",BJ310,0)</f>
        <v>0</v>
      </c>
      <c r="AB310" s="28">
        <f>IF(AQ310="1",BH310,0)</f>
        <v>0</v>
      </c>
      <c r="AC310" s="28">
        <f>IF(AQ310="1",BI310,0)</f>
        <v>0</v>
      </c>
      <c r="AD310" s="28">
        <f>IF(AQ310="7",BH310,0)</f>
        <v>0</v>
      </c>
      <c r="AE310" s="28">
        <f>IF(AQ310="7",BI310,0)</f>
        <v>0</v>
      </c>
      <c r="AF310" s="28">
        <f>IF(AQ310="2",BH310,0)</f>
        <v>0</v>
      </c>
      <c r="AG310" s="28">
        <f>IF(AQ310="2",BI310,0)</f>
        <v>0</v>
      </c>
      <c r="AH310" s="28">
        <f>IF(AQ310="0",BJ310,0)</f>
        <v>0</v>
      </c>
      <c r="AI310" s="56" t="s">
        <v>72</v>
      </c>
      <c r="AJ310" s="60">
        <f>IF(AN310=0,K310,0)</f>
        <v>0</v>
      </c>
      <c r="AK310" s="60">
        <f>IF(AN310=15,K310,0)</f>
        <v>0</v>
      </c>
      <c r="AL310" s="60">
        <f>IF(AN310=21,K310,0)</f>
        <v>0</v>
      </c>
      <c r="AN310" s="28">
        <v>21</v>
      </c>
      <c r="AO310" s="28">
        <f>J310*0.464928571428571</f>
        <v>0</v>
      </c>
      <c r="AP310" s="28">
        <f>J310*(1-0.464928571428571)</f>
        <v>0</v>
      </c>
      <c r="AQ310" s="57" t="s">
        <v>88</v>
      </c>
      <c r="AV310" s="28">
        <f>AW310+AX310</f>
        <v>0</v>
      </c>
      <c r="AW310" s="28">
        <f>I310*AO310</f>
        <v>0</v>
      </c>
      <c r="AX310" s="28">
        <f>I310*AP310</f>
        <v>0</v>
      </c>
      <c r="AY310" s="59" t="s">
        <v>936</v>
      </c>
      <c r="AZ310" s="59" t="s">
        <v>960</v>
      </c>
      <c r="BA310" s="56" t="s">
        <v>966</v>
      </c>
      <c r="BC310" s="28">
        <f>AW310+AX310</f>
        <v>0</v>
      </c>
      <c r="BD310" s="28">
        <f>J310/(100-BE310)*100</f>
        <v>0</v>
      </c>
      <c r="BE310" s="28">
        <v>0</v>
      </c>
      <c r="BF310" s="28">
        <f>310</f>
        <v>310</v>
      </c>
      <c r="BH310" s="60">
        <f>I310*AO310</f>
        <v>0</v>
      </c>
      <c r="BI310" s="60">
        <f>I310*AP310</f>
        <v>0</v>
      </c>
      <c r="BJ310" s="60">
        <f>I310*J310</f>
        <v>0</v>
      </c>
      <c r="BK310" s="60" t="s">
        <v>971</v>
      </c>
      <c r="BL310" s="28">
        <v>736</v>
      </c>
    </row>
    <row r="311" spans="1:64" x14ac:dyDescent="0.25">
      <c r="A311" s="17"/>
      <c r="C311" s="148" t="s">
        <v>667</v>
      </c>
      <c r="D311" s="149"/>
      <c r="E311" s="149"/>
      <c r="F311" s="149"/>
      <c r="G311" s="149"/>
      <c r="I311" s="77">
        <v>3</v>
      </c>
      <c r="L311" s="14"/>
      <c r="M311" s="17"/>
    </row>
    <row r="312" spans="1:64" x14ac:dyDescent="0.25">
      <c r="A312" s="33"/>
      <c r="B312" s="40" t="s">
        <v>380</v>
      </c>
      <c r="C312" s="144" t="s">
        <v>724</v>
      </c>
      <c r="D312" s="145"/>
      <c r="E312" s="145"/>
      <c r="F312" s="145"/>
      <c r="G312" s="145"/>
      <c r="H312" s="46" t="s">
        <v>58</v>
      </c>
      <c r="I312" s="46" t="s">
        <v>58</v>
      </c>
      <c r="J312" s="46" t="s">
        <v>58</v>
      </c>
      <c r="K312" s="65">
        <f>SUM(K313:K327)</f>
        <v>0</v>
      </c>
      <c r="L312" s="52"/>
      <c r="M312" s="17"/>
      <c r="AI312" s="56" t="s">
        <v>72</v>
      </c>
      <c r="AS312" s="65">
        <f>SUM(AJ313:AJ327)</f>
        <v>0</v>
      </c>
      <c r="AT312" s="65">
        <f>SUM(AK313:AK327)</f>
        <v>0</v>
      </c>
      <c r="AU312" s="65">
        <f>SUM(AL313:AL327)</f>
        <v>0</v>
      </c>
    </row>
    <row r="313" spans="1:64" x14ac:dyDescent="0.25">
      <c r="A313" s="34" t="s">
        <v>190</v>
      </c>
      <c r="B313" s="41" t="s">
        <v>381</v>
      </c>
      <c r="C313" s="146" t="s">
        <v>725</v>
      </c>
      <c r="D313" s="147"/>
      <c r="E313" s="147"/>
      <c r="F313" s="147"/>
      <c r="G313" s="147"/>
      <c r="H313" s="41" t="s">
        <v>891</v>
      </c>
      <c r="I313" s="76">
        <v>28.06</v>
      </c>
      <c r="J313" s="60">
        <v>0</v>
      </c>
      <c r="K313" s="60">
        <f>I313*J313</f>
        <v>0</v>
      </c>
      <c r="L313" s="53" t="s">
        <v>906</v>
      </c>
      <c r="M313" s="17"/>
      <c r="Z313" s="28">
        <f>IF(AQ313="5",BJ313,0)</f>
        <v>0</v>
      </c>
      <c r="AB313" s="28">
        <f>IF(AQ313="1",BH313,0)</f>
        <v>0</v>
      </c>
      <c r="AC313" s="28">
        <f>IF(AQ313="1",BI313,0)</f>
        <v>0</v>
      </c>
      <c r="AD313" s="28">
        <f>IF(AQ313="7",BH313,0)</f>
        <v>0</v>
      </c>
      <c r="AE313" s="28">
        <f>IF(AQ313="7",BI313,0)</f>
        <v>0</v>
      </c>
      <c r="AF313" s="28">
        <f>IF(AQ313="2",BH313,0)</f>
        <v>0</v>
      </c>
      <c r="AG313" s="28">
        <f>IF(AQ313="2",BI313,0)</f>
        <v>0</v>
      </c>
      <c r="AH313" s="28">
        <f>IF(AQ313="0",BJ313,0)</f>
        <v>0</v>
      </c>
      <c r="AI313" s="56" t="s">
        <v>72</v>
      </c>
      <c r="AJ313" s="60">
        <f>IF(AN313=0,K313,0)</f>
        <v>0</v>
      </c>
      <c r="AK313" s="60">
        <f>IF(AN313=15,K313,0)</f>
        <v>0</v>
      </c>
      <c r="AL313" s="60">
        <f>IF(AN313=21,K313,0)</f>
        <v>0</v>
      </c>
      <c r="AN313" s="28">
        <v>21</v>
      </c>
      <c r="AO313" s="28">
        <f>J313*0</f>
        <v>0</v>
      </c>
      <c r="AP313" s="28">
        <f>J313*(1-0)</f>
        <v>0</v>
      </c>
      <c r="AQ313" s="57" t="s">
        <v>88</v>
      </c>
      <c r="AV313" s="28">
        <f>AW313+AX313</f>
        <v>0</v>
      </c>
      <c r="AW313" s="28">
        <f>I313*AO313</f>
        <v>0</v>
      </c>
      <c r="AX313" s="28">
        <f>I313*AP313</f>
        <v>0</v>
      </c>
      <c r="AY313" s="59" t="s">
        <v>937</v>
      </c>
      <c r="AZ313" s="59" t="s">
        <v>961</v>
      </c>
      <c r="BA313" s="56" t="s">
        <v>966</v>
      </c>
      <c r="BC313" s="28">
        <f>AW313+AX313</f>
        <v>0</v>
      </c>
      <c r="BD313" s="28">
        <f>J313/(100-BE313)*100</f>
        <v>0</v>
      </c>
      <c r="BE313" s="28">
        <v>0</v>
      </c>
      <c r="BF313" s="28">
        <f>313</f>
        <v>313</v>
      </c>
      <c r="BH313" s="60">
        <f>I313*AO313</f>
        <v>0</v>
      </c>
      <c r="BI313" s="60">
        <f>I313*AP313</f>
        <v>0</v>
      </c>
      <c r="BJ313" s="60">
        <f>I313*J313</f>
        <v>0</v>
      </c>
      <c r="BK313" s="60" t="s">
        <v>971</v>
      </c>
      <c r="BL313" s="28">
        <v>762</v>
      </c>
    </row>
    <row r="314" spans="1:64" x14ac:dyDescent="0.25">
      <c r="A314" s="17"/>
      <c r="C314" s="148" t="s">
        <v>726</v>
      </c>
      <c r="D314" s="149"/>
      <c r="E314" s="149"/>
      <c r="F314" s="149"/>
      <c r="G314" s="149"/>
      <c r="I314" s="77">
        <v>28.06</v>
      </c>
      <c r="L314" s="14"/>
      <c r="M314" s="17"/>
    </row>
    <row r="315" spans="1:64" x14ac:dyDescent="0.25">
      <c r="A315" s="34" t="s">
        <v>191</v>
      </c>
      <c r="B315" s="41" t="s">
        <v>382</v>
      </c>
      <c r="C315" s="146" t="s">
        <v>727</v>
      </c>
      <c r="D315" s="147"/>
      <c r="E315" s="147"/>
      <c r="F315" s="147"/>
      <c r="G315" s="147"/>
      <c r="H315" s="41" t="s">
        <v>895</v>
      </c>
      <c r="I315" s="76">
        <v>114.11</v>
      </c>
      <c r="J315" s="60">
        <v>0</v>
      </c>
      <c r="K315" s="60">
        <f>I315*J315</f>
        <v>0</v>
      </c>
      <c r="L315" s="53" t="s">
        <v>906</v>
      </c>
      <c r="M315" s="17"/>
      <c r="Z315" s="28">
        <f>IF(AQ315="5",BJ315,0)</f>
        <v>0</v>
      </c>
      <c r="AB315" s="28">
        <f>IF(AQ315="1",BH315,0)</f>
        <v>0</v>
      </c>
      <c r="AC315" s="28">
        <f>IF(AQ315="1",BI315,0)</f>
        <v>0</v>
      </c>
      <c r="AD315" s="28">
        <f>IF(AQ315="7",BH315,0)</f>
        <v>0</v>
      </c>
      <c r="AE315" s="28">
        <f>IF(AQ315="7",BI315,0)</f>
        <v>0</v>
      </c>
      <c r="AF315" s="28">
        <f>IF(AQ315="2",BH315,0)</f>
        <v>0</v>
      </c>
      <c r="AG315" s="28">
        <f>IF(AQ315="2",BI315,0)</f>
        <v>0</v>
      </c>
      <c r="AH315" s="28">
        <f>IF(AQ315="0",BJ315,0)</f>
        <v>0</v>
      </c>
      <c r="AI315" s="56" t="s">
        <v>72</v>
      </c>
      <c r="AJ315" s="60">
        <f>IF(AN315=0,K315,0)</f>
        <v>0</v>
      </c>
      <c r="AK315" s="60">
        <f>IF(AN315=15,K315,0)</f>
        <v>0</v>
      </c>
      <c r="AL315" s="60">
        <f>IF(AN315=21,K315,0)</f>
        <v>0</v>
      </c>
      <c r="AN315" s="28">
        <v>21</v>
      </c>
      <c r="AO315" s="28">
        <f>J315*0.440622703758286</f>
        <v>0</v>
      </c>
      <c r="AP315" s="28">
        <f>J315*(1-0.440622703758286)</f>
        <v>0</v>
      </c>
      <c r="AQ315" s="57" t="s">
        <v>88</v>
      </c>
      <c r="AV315" s="28">
        <f>AW315+AX315</f>
        <v>0</v>
      </c>
      <c r="AW315" s="28">
        <f>I315*AO315</f>
        <v>0</v>
      </c>
      <c r="AX315" s="28">
        <f>I315*AP315</f>
        <v>0</v>
      </c>
      <c r="AY315" s="59" t="s">
        <v>937</v>
      </c>
      <c r="AZ315" s="59" t="s">
        <v>961</v>
      </c>
      <c r="BA315" s="56" t="s">
        <v>966</v>
      </c>
      <c r="BC315" s="28">
        <f>AW315+AX315</f>
        <v>0</v>
      </c>
      <c r="BD315" s="28">
        <f>J315/(100-BE315)*100</f>
        <v>0</v>
      </c>
      <c r="BE315" s="28">
        <v>0</v>
      </c>
      <c r="BF315" s="28">
        <f>315</f>
        <v>315</v>
      </c>
      <c r="BH315" s="60">
        <f>I315*AO315</f>
        <v>0</v>
      </c>
      <c r="BI315" s="60">
        <f>I315*AP315</f>
        <v>0</v>
      </c>
      <c r="BJ315" s="60">
        <f>I315*J315</f>
        <v>0</v>
      </c>
      <c r="BK315" s="60" t="s">
        <v>971</v>
      </c>
      <c r="BL315" s="28">
        <v>762</v>
      </c>
    </row>
    <row r="316" spans="1:64" x14ac:dyDescent="0.25">
      <c r="A316" s="17"/>
      <c r="B316" s="42" t="s">
        <v>265</v>
      </c>
      <c r="C316" s="150" t="s">
        <v>728</v>
      </c>
      <c r="D316" s="151"/>
      <c r="E316" s="151"/>
      <c r="F316" s="151"/>
      <c r="G316" s="151"/>
      <c r="H316" s="151"/>
      <c r="I316" s="151"/>
      <c r="J316" s="151"/>
      <c r="K316" s="151"/>
      <c r="L316" s="152"/>
      <c r="M316" s="17"/>
    </row>
    <row r="317" spans="1:64" x14ac:dyDescent="0.25">
      <c r="A317" s="17"/>
      <c r="C317" s="148" t="s">
        <v>729</v>
      </c>
      <c r="D317" s="149"/>
      <c r="E317" s="149"/>
      <c r="F317" s="149"/>
      <c r="G317" s="149"/>
      <c r="I317" s="77">
        <v>21.92</v>
      </c>
      <c r="L317" s="14"/>
      <c r="M317" s="17"/>
    </row>
    <row r="318" spans="1:64" x14ac:dyDescent="0.25">
      <c r="A318" s="17"/>
      <c r="C318" s="148" t="s">
        <v>730</v>
      </c>
      <c r="D318" s="149"/>
      <c r="E318" s="149"/>
      <c r="F318" s="149"/>
      <c r="G318" s="149"/>
      <c r="I318" s="77">
        <v>5</v>
      </c>
      <c r="L318" s="14"/>
      <c r="M318" s="17"/>
    </row>
    <row r="319" spans="1:64" x14ac:dyDescent="0.25">
      <c r="A319" s="17"/>
      <c r="C319" s="148" t="s">
        <v>731</v>
      </c>
      <c r="D319" s="149"/>
      <c r="E319" s="149"/>
      <c r="F319" s="149"/>
      <c r="G319" s="149"/>
      <c r="I319" s="77">
        <v>5</v>
      </c>
      <c r="L319" s="14"/>
      <c r="M319" s="17"/>
    </row>
    <row r="320" spans="1:64" x14ac:dyDescent="0.25">
      <c r="A320" s="17"/>
      <c r="C320" s="148" t="s">
        <v>732</v>
      </c>
      <c r="D320" s="149"/>
      <c r="E320" s="149"/>
      <c r="F320" s="149"/>
      <c r="G320" s="149"/>
      <c r="I320" s="77">
        <v>46.08</v>
      </c>
      <c r="L320" s="14"/>
      <c r="M320" s="17"/>
    </row>
    <row r="321" spans="1:64" x14ac:dyDescent="0.25">
      <c r="A321" s="17"/>
      <c r="C321" s="148" t="s">
        <v>733</v>
      </c>
      <c r="D321" s="149"/>
      <c r="E321" s="149"/>
      <c r="F321" s="149"/>
      <c r="G321" s="149"/>
      <c r="I321" s="77">
        <v>6.2</v>
      </c>
      <c r="L321" s="14"/>
      <c r="M321" s="17"/>
    </row>
    <row r="322" spans="1:64" x14ac:dyDescent="0.25">
      <c r="A322" s="17"/>
      <c r="C322" s="148" t="s">
        <v>734</v>
      </c>
      <c r="D322" s="149"/>
      <c r="E322" s="149"/>
      <c r="F322" s="149"/>
      <c r="G322" s="149"/>
      <c r="I322" s="77">
        <v>5.6</v>
      </c>
      <c r="L322" s="14"/>
      <c r="M322" s="17"/>
    </row>
    <row r="323" spans="1:64" x14ac:dyDescent="0.25">
      <c r="A323" s="17"/>
      <c r="C323" s="148" t="s">
        <v>735</v>
      </c>
      <c r="D323" s="149"/>
      <c r="E323" s="149"/>
      <c r="F323" s="149"/>
      <c r="G323" s="149"/>
      <c r="I323" s="77">
        <v>5.6</v>
      </c>
      <c r="L323" s="14"/>
      <c r="M323" s="17"/>
    </row>
    <row r="324" spans="1:64" x14ac:dyDescent="0.25">
      <c r="A324" s="17"/>
      <c r="C324" s="148" t="s">
        <v>736</v>
      </c>
      <c r="D324" s="149"/>
      <c r="E324" s="149"/>
      <c r="F324" s="149"/>
      <c r="G324" s="149"/>
      <c r="I324" s="77">
        <v>10.199999999999999</v>
      </c>
      <c r="L324" s="14"/>
      <c r="M324" s="17"/>
    </row>
    <row r="325" spans="1:64" x14ac:dyDescent="0.25">
      <c r="A325" s="17"/>
      <c r="C325" s="148" t="s">
        <v>737</v>
      </c>
      <c r="D325" s="149"/>
      <c r="E325" s="149"/>
      <c r="F325" s="149"/>
      <c r="G325" s="149"/>
      <c r="I325" s="77">
        <v>6.81</v>
      </c>
      <c r="L325" s="14"/>
      <c r="M325" s="17"/>
    </row>
    <row r="326" spans="1:64" x14ac:dyDescent="0.25">
      <c r="A326" s="17"/>
      <c r="C326" s="148" t="s">
        <v>738</v>
      </c>
      <c r="D326" s="149"/>
      <c r="E326" s="149"/>
      <c r="F326" s="149"/>
      <c r="G326" s="149"/>
      <c r="I326" s="77">
        <v>1.7</v>
      </c>
      <c r="L326" s="14"/>
      <c r="M326" s="17"/>
    </row>
    <row r="327" spans="1:64" x14ac:dyDescent="0.25">
      <c r="A327" s="34" t="s">
        <v>192</v>
      </c>
      <c r="B327" s="41" t="s">
        <v>383</v>
      </c>
      <c r="C327" s="146" t="s">
        <v>739</v>
      </c>
      <c r="D327" s="147"/>
      <c r="E327" s="147"/>
      <c r="F327" s="147"/>
      <c r="G327" s="147"/>
      <c r="H327" s="41" t="s">
        <v>895</v>
      </c>
      <c r="I327" s="76">
        <v>9.4</v>
      </c>
      <c r="J327" s="60">
        <v>0</v>
      </c>
      <c r="K327" s="60">
        <f>I327*J327</f>
        <v>0</v>
      </c>
      <c r="L327" s="53"/>
      <c r="M327" s="17"/>
      <c r="Z327" s="28">
        <f>IF(AQ327="5",BJ327,0)</f>
        <v>0</v>
      </c>
      <c r="AB327" s="28">
        <f>IF(AQ327="1",BH327,0)</f>
        <v>0</v>
      </c>
      <c r="AC327" s="28">
        <f>IF(AQ327="1",BI327,0)</f>
        <v>0</v>
      </c>
      <c r="AD327" s="28">
        <f>IF(AQ327="7",BH327,0)</f>
        <v>0</v>
      </c>
      <c r="AE327" s="28">
        <f>IF(AQ327="7",BI327,0)</f>
        <v>0</v>
      </c>
      <c r="AF327" s="28">
        <f>IF(AQ327="2",BH327,0)</f>
        <v>0</v>
      </c>
      <c r="AG327" s="28">
        <f>IF(AQ327="2",BI327,0)</f>
        <v>0</v>
      </c>
      <c r="AH327" s="28">
        <f>IF(AQ327="0",BJ327,0)</f>
        <v>0</v>
      </c>
      <c r="AI327" s="56" t="s">
        <v>72</v>
      </c>
      <c r="AJ327" s="60">
        <f>IF(AN327=0,K327,0)</f>
        <v>0</v>
      </c>
      <c r="AK327" s="60">
        <f>IF(AN327=15,K327,0)</f>
        <v>0</v>
      </c>
      <c r="AL327" s="60">
        <f>IF(AN327=21,K327,0)</f>
        <v>0</v>
      </c>
      <c r="AN327" s="28">
        <v>21</v>
      </c>
      <c r="AO327" s="28">
        <f>J327*0.835598421744849</f>
        <v>0</v>
      </c>
      <c r="AP327" s="28">
        <f>J327*(1-0.835598421744849)</f>
        <v>0</v>
      </c>
      <c r="AQ327" s="57" t="s">
        <v>88</v>
      </c>
      <c r="AV327" s="28">
        <f>AW327+AX327</f>
        <v>0</v>
      </c>
      <c r="AW327" s="28">
        <f>I327*AO327</f>
        <v>0</v>
      </c>
      <c r="AX327" s="28">
        <f>I327*AP327</f>
        <v>0</v>
      </c>
      <c r="AY327" s="59" t="s">
        <v>937</v>
      </c>
      <c r="AZ327" s="59" t="s">
        <v>961</v>
      </c>
      <c r="BA327" s="56" t="s">
        <v>966</v>
      </c>
      <c r="BC327" s="28">
        <f>AW327+AX327</f>
        <v>0</v>
      </c>
      <c r="BD327" s="28">
        <f>J327/(100-BE327)*100</f>
        <v>0</v>
      </c>
      <c r="BE327" s="28">
        <v>0</v>
      </c>
      <c r="BF327" s="28">
        <f>327</f>
        <v>327</v>
      </c>
      <c r="BH327" s="60">
        <f>I327*AO327</f>
        <v>0</v>
      </c>
      <c r="BI327" s="60">
        <f>I327*AP327</f>
        <v>0</v>
      </c>
      <c r="BJ327" s="60">
        <f>I327*J327</f>
        <v>0</v>
      </c>
      <c r="BK327" s="60" t="s">
        <v>971</v>
      </c>
      <c r="BL327" s="28">
        <v>762</v>
      </c>
    </row>
    <row r="328" spans="1:64" x14ac:dyDescent="0.25">
      <c r="A328" s="33"/>
      <c r="B328" s="40" t="s">
        <v>384</v>
      </c>
      <c r="C328" s="144" t="s">
        <v>740</v>
      </c>
      <c r="D328" s="145"/>
      <c r="E328" s="145"/>
      <c r="F328" s="145"/>
      <c r="G328" s="145"/>
      <c r="H328" s="46" t="s">
        <v>58</v>
      </c>
      <c r="I328" s="46" t="s">
        <v>58</v>
      </c>
      <c r="J328" s="46" t="s">
        <v>58</v>
      </c>
      <c r="K328" s="65">
        <f>SUM(K329:K344)</f>
        <v>0</v>
      </c>
      <c r="L328" s="52"/>
      <c r="M328" s="17"/>
      <c r="AI328" s="56" t="s">
        <v>72</v>
      </c>
      <c r="AS328" s="65">
        <f>SUM(AJ329:AJ344)</f>
        <v>0</v>
      </c>
      <c r="AT328" s="65">
        <f>SUM(AK329:AK344)</f>
        <v>0</v>
      </c>
      <c r="AU328" s="65">
        <f>SUM(AL329:AL344)</f>
        <v>0</v>
      </c>
    </row>
    <row r="329" spans="1:64" x14ac:dyDescent="0.25">
      <c r="A329" s="34" t="s">
        <v>193</v>
      </c>
      <c r="B329" s="41" t="s">
        <v>385</v>
      </c>
      <c r="C329" s="146" t="s">
        <v>741</v>
      </c>
      <c r="D329" s="147"/>
      <c r="E329" s="147"/>
      <c r="F329" s="147"/>
      <c r="G329" s="147"/>
      <c r="H329" s="41" t="s">
        <v>891</v>
      </c>
      <c r="I329" s="76">
        <v>346.32</v>
      </c>
      <c r="J329" s="60">
        <v>0</v>
      </c>
      <c r="K329" s="60">
        <f>I329*J329</f>
        <v>0</v>
      </c>
      <c r="L329" s="53" t="s">
        <v>906</v>
      </c>
      <c r="M329" s="17"/>
      <c r="Z329" s="28">
        <f>IF(AQ329="5",BJ329,0)</f>
        <v>0</v>
      </c>
      <c r="AB329" s="28">
        <f>IF(AQ329="1",BH329,0)</f>
        <v>0</v>
      </c>
      <c r="AC329" s="28">
        <f>IF(AQ329="1",BI329,0)</f>
        <v>0</v>
      </c>
      <c r="AD329" s="28">
        <f>IF(AQ329="7",BH329,0)</f>
        <v>0</v>
      </c>
      <c r="AE329" s="28">
        <f>IF(AQ329="7",BI329,0)</f>
        <v>0</v>
      </c>
      <c r="AF329" s="28">
        <f>IF(AQ329="2",BH329,0)</f>
        <v>0</v>
      </c>
      <c r="AG329" s="28">
        <f>IF(AQ329="2",BI329,0)</f>
        <v>0</v>
      </c>
      <c r="AH329" s="28">
        <f>IF(AQ329="0",BJ329,0)</f>
        <v>0</v>
      </c>
      <c r="AI329" s="56" t="s">
        <v>72</v>
      </c>
      <c r="AJ329" s="60">
        <f>IF(AN329=0,K329,0)</f>
        <v>0</v>
      </c>
      <c r="AK329" s="60">
        <f>IF(AN329=15,K329,0)</f>
        <v>0</v>
      </c>
      <c r="AL329" s="60">
        <f>IF(AN329=21,K329,0)</f>
        <v>0</v>
      </c>
      <c r="AN329" s="28">
        <v>21</v>
      </c>
      <c r="AO329" s="28">
        <f>J329*0</f>
        <v>0</v>
      </c>
      <c r="AP329" s="28">
        <f>J329*(1-0)</f>
        <v>0</v>
      </c>
      <c r="AQ329" s="57" t="s">
        <v>88</v>
      </c>
      <c r="AV329" s="28">
        <f>AW329+AX329</f>
        <v>0</v>
      </c>
      <c r="AW329" s="28">
        <f>I329*AO329</f>
        <v>0</v>
      </c>
      <c r="AX329" s="28">
        <f>I329*AP329</f>
        <v>0</v>
      </c>
      <c r="AY329" s="59" t="s">
        <v>938</v>
      </c>
      <c r="AZ329" s="59" t="s">
        <v>961</v>
      </c>
      <c r="BA329" s="56" t="s">
        <v>966</v>
      </c>
      <c r="BC329" s="28">
        <f>AW329+AX329</f>
        <v>0</v>
      </c>
      <c r="BD329" s="28">
        <f>J329/(100-BE329)*100</f>
        <v>0</v>
      </c>
      <c r="BE329" s="28">
        <v>0</v>
      </c>
      <c r="BF329" s="28">
        <f>329</f>
        <v>329</v>
      </c>
      <c r="BH329" s="60">
        <f>I329*AO329</f>
        <v>0</v>
      </c>
      <c r="BI329" s="60">
        <f>I329*AP329</f>
        <v>0</v>
      </c>
      <c r="BJ329" s="60">
        <f>I329*J329</f>
        <v>0</v>
      </c>
      <c r="BK329" s="60" t="s">
        <v>971</v>
      </c>
      <c r="BL329" s="28">
        <v>764</v>
      </c>
    </row>
    <row r="330" spans="1:64" x14ac:dyDescent="0.25">
      <c r="A330" s="17"/>
      <c r="C330" s="148" t="s">
        <v>742</v>
      </c>
      <c r="D330" s="149"/>
      <c r="E330" s="149"/>
      <c r="F330" s="149"/>
      <c r="G330" s="149"/>
      <c r="I330" s="77">
        <v>346.32</v>
      </c>
      <c r="L330" s="14"/>
      <c r="M330" s="17"/>
    </row>
    <row r="331" spans="1:64" x14ac:dyDescent="0.25">
      <c r="A331" s="34" t="s">
        <v>194</v>
      </c>
      <c r="B331" s="41" t="s">
        <v>386</v>
      </c>
      <c r="C331" s="146" t="s">
        <v>743</v>
      </c>
      <c r="D331" s="147"/>
      <c r="E331" s="147"/>
      <c r="F331" s="147"/>
      <c r="G331" s="147"/>
      <c r="H331" s="41" t="s">
        <v>895</v>
      </c>
      <c r="I331" s="76">
        <v>53.05</v>
      </c>
      <c r="J331" s="60">
        <v>0</v>
      </c>
      <c r="K331" s="60">
        <f>I331*J331</f>
        <v>0</v>
      </c>
      <c r="L331" s="53" t="s">
        <v>906</v>
      </c>
      <c r="M331" s="17"/>
      <c r="Z331" s="28">
        <f>IF(AQ331="5",BJ331,0)</f>
        <v>0</v>
      </c>
      <c r="AB331" s="28">
        <f>IF(AQ331="1",BH331,0)</f>
        <v>0</v>
      </c>
      <c r="AC331" s="28">
        <f>IF(AQ331="1",BI331,0)</f>
        <v>0</v>
      </c>
      <c r="AD331" s="28">
        <f>IF(AQ331="7",BH331,0)</f>
        <v>0</v>
      </c>
      <c r="AE331" s="28">
        <f>IF(AQ331="7",BI331,0)</f>
        <v>0</v>
      </c>
      <c r="AF331" s="28">
        <f>IF(AQ331="2",BH331,0)</f>
        <v>0</v>
      </c>
      <c r="AG331" s="28">
        <f>IF(AQ331="2",BI331,0)</f>
        <v>0</v>
      </c>
      <c r="AH331" s="28">
        <f>IF(AQ331="0",BJ331,0)</f>
        <v>0</v>
      </c>
      <c r="AI331" s="56" t="s">
        <v>72</v>
      </c>
      <c r="AJ331" s="60">
        <f>IF(AN331=0,K331,0)</f>
        <v>0</v>
      </c>
      <c r="AK331" s="60">
        <f>IF(AN331=15,K331,0)</f>
        <v>0</v>
      </c>
      <c r="AL331" s="60">
        <f>IF(AN331=21,K331,0)</f>
        <v>0</v>
      </c>
      <c r="AN331" s="28">
        <v>21</v>
      </c>
      <c r="AO331" s="28">
        <f>J331*0.212072774641022</f>
        <v>0</v>
      </c>
      <c r="AP331" s="28">
        <f>J331*(1-0.212072774641022)</f>
        <v>0</v>
      </c>
      <c r="AQ331" s="57" t="s">
        <v>88</v>
      </c>
      <c r="AV331" s="28">
        <f>AW331+AX331</f>
        <v>0</v>
      </c>
      <c r="AW331" s="28">
        <f>I331*AO331</f>
        <v>0</v>
      </c>
      <c r="AX331" s="28">
        <f>I331*AP331</f>
        <v>0</v>
      </c>
      <c r="AY331" s="59" t="s">
        <v>938</v>
      </c>
      <c r="AZ331" s="59" t="s">
        <v>961</v>
      </c>
      <c r="BA331" s="56" t="s">
        <v>966</v>
      </c>
      <c r="BC331" s="28">
        <f>AW331+AX331</f>
        <v>0</v>
      </c>
      <c r="BD331" s="28">
        <f>J331/(100-BE331)*100</f>
        <v>0</v>
      </c>
      <c r="BE331" s="28">
        <v>0</v>
      </c>
      <c r="BF331" s="28">
        <f>331</f>
        <v>331</v>
      </c>
      <c r="BH331" s="60">
        <f>I331*AO331</f>
        <v>0</v>
      </c>
      <c r="BI331" s="60">
        <f>I331*AP331</f>
        <v>0</v>
      </c>
      <c r="BJ331" s="60">
        <f>I331*J331</f>
        <v>0</v>
      </c>
      <c r="BK331" s="60" t="s">
        <v>971</v>
      </c>
      <c r="BL331" s="28">
        <v>764</v>
      </c>
    </row>
    <row r="332" spans="1:64" x14ac:dyDescent="0.25">
      <c r="A332" s="17"/>
      <c r="C332" s="148" t="s">
        <v>744</v>
      </c>
      <c r="D332" s="149"/>
      <c r="E332" s="149"/>
      <c r="F332" s="149"/>
      <c r="G332" s="149"/>
      <c r="I332" s="77">
        <v>40.950000000000003</v>
      </c>
      <c r="L332" s="14"/>
      <c r="M332" s="17"/>
    </row>
    <row r="333" spans="1:64" x14ac:dyDescent="0.25">
      <c r="A333" s="17"/>
      <c r="C333" s="148" t="s">
        <v>745</v>
      </c>
      <c r="D333" s="149"/>
      <c r="E333" s="149"/>
      <c r="F333" s="149"/>
      <c r="G333" s="149"/>
      <c r="I333" s="77">
        <v>12.1</v>
      </c>
      <c r="L333" s="14"/>
      <c r="M333" s="17"/>
    </row>
    <row r="334" spans="1:64" x14ac:dyDescent="0.25">
      <c r="A334" s="34" t="s">
        <v>195</v>
      </c>
      <c r="B334" s="41" t="s">
        <v>387</v>
      </c>
      <c r="C334" s="146" t="s">
        <v>746</v>
      </c>
      <c r="D334" s="147"/>
      <c r="E334" s="147"/>
      <c r="F334" s="147"/>
      <c r="G334" s="147"/>
      <c r="H334" s="41" t="s">
        <v>895</v>
      </c>
      <c r="I334" s="76">
        <v>19.7</v>
      </c>
      <c r="J334" s="60">
        <v>0</v>
      </c>
      <c r="K334" s="60">
        <f>I334*J334</f>
        <v>0</v>
      </c>
      <c r="L334" s="53" t="s">
        <v>906</v>
      </c>
      <c r="M334" s="17"/>
      <c r="Z334" s="28">
        <f>IF(AQ334="5",BJ334,0)</f>
        <v>0</v>
      </c>
      <c r="AB334" s="28">
        <f>IF(AQ334="1",BH334,0)</f>
        <v>0</v>
      </c>
      <c r="AC334" s="28">
        <f>IF(AQ334="1",BI334,0)</f>
        <v>0</v>
      </c>
      <c r="AD334" s="28">
        <f>IF(AQ334="7",BH334,0)</f>
        <v>0</v>
      </c>
      <c r="AE334" s="28">
        <f>IF(AQ334="7",BI334,0)</f>
        <v>0</v>
      </c>
      <c r="AF334" s="28">
        <f>IF(AQ334="2",BH334,0)</f>
        <v>0</v>
      </c>
      <c r="AG334" s="28">
        <f>IF(AQ334="2",BI334,0)</f>
        <v>0</v>
      </c>
      <c r="AH334" s="28">
        <f>IF(AQ334="0",BJ334,0)</f>
        <v>0</v>
      </c>
      <c r="AI334" s="56" t="s">
        <v>72</v>
      </c>
      <c r="AJ334" s="60">
        <f>IF(AN334=0,K334,0)</f>
        <v>0</v>
      </c>
      <c r="AK334" s="60">
        <f>IF(AN334=15,K334,0)</f>
        <v>0</v>
      </c>
      <c r="AL334" s="60">
        <f>IF(AN334=21,K334,0)</f>
        <v>0</v>
      </c>
      <c r="AN334" s="28">
        <v>21</v>
      </c>
      <c r="AO334" s="28">
        <f>J334*0.718178137651822</f>
        <v>0</v>
      </c>
      <c r="AP334" s="28">
        <f>J334*(1-0.718178137651822)</f>
        <v>0</v>
      </c>
      <c r="AQ334" s="57" t="s">
        <v>88</v>
      </c>
      <c r="AV334" s="28">
        <f>AW334+AX334</f>
        <v>0</v>
      </c>
      <c r="AW334" s="28">
        <f>I334*AO334</f>
        <v>0</v>
      </c>
      <c r="AX334" s="28">
        <f>I334*AP334</f>
        <v>0</v>
      </c>
      <c r="AY334" s="59" t="s">
        <v>938</v>
      </c>
      <c r="AZ334" s="59" t="s">
        <v>961</v>
      </c>
      <c r="BA334" s="56" t="s">
        <v>966</v>
      </c>
      <c r="BC334" s="28">
        <f>AW334+AX334</f>
        <v>0</v>
      </c>
      <c r="BD334" s="28">
        <f>J334/(100-BE334)*100</f>
        <v>0</v>
      </c>
      <c r="BE334" s="28">
        <v>0</v>
      </c>
      <c r="BF334" s="28">
        <f>334</f>
        <v>334</v>
      </c>
      <c r="BH334" s="60">
        <f>I334*AO334</f>
        <v>0</v>
      </c>
      <c r="BI334" s="60">
        <f>I334*AP334</f>
        <v>0</v>
      </c>
      <c r="BJ334" s="60">
        <f>I334*J334</f>
        <v>0</v>
      </c>
      <c r="BK334" s="60" t="s">
        <v>971</v>
      </c>
      <c r="BL334" s="28">
        <v>764</v>
      </c>
    </row>
    <row r="335" spans="1:64" x14ac:dyDescent="0.25">
      <c r="A335" s="17"/>
      <c r="C335" s="148" t="s">
        <v>747</v>
      </c>
      <c r="D335" s="149"/>
      <c r="E335" s="149"/>
      <c r="F335" s="149"/>
      <c r="G335" s="149"/>
      <c r="I335" s="77">
        <v>14</v>
      </c>
      <c r="L335" s="14"/>
      <c r="M335" s="17"/>
    </row>
    <row r="336" spans="1:64" x14ac:dyDescent="0.25">
      <c r="A336" s="17"/>
      <c r="C336" s="148" t="s">
        <v>748</v>
      </c>
      <c r="D336" s="149"/>
      <c r="E336" s="149"/>
      <c r="F336" s="149"/>
      <c r="G336" s="149"/>
      <c r="I336" s="77">
        <v>5.7</v>
      </c>
      <c r="L336" s="14"/>
      <c r="M336" s="17"/>
    </row>
    <row r="337" spans="1:64" x14ac:dyDescent="0.25">
      <c r="A337" s="34" t="s">
        <v>196</v>
      </c>
      <c r="B337" s="41" t="s">
        <v>388</v>
      </c>
      <c r="C337" s="146" t="s">
        <v>749</v>
      </c>
      <c r="D337" s="147"/>
      <c r="E337" s="147"/>
      <c r="F337" s="147"/>
      <c r="G337" s="147"/>
      <c r="H337" s="41" t="s">
        <v>891</v>
      </c>
      <c r="I337" s="76">
        <v>345.46699999999998</v>
      </c>
      <c r="J337" s="60">
        <v>0</v>
      </c>
      <c r="K337" s="60">
        <f>I337*J337</f>
        <v>0</v>
      </c>
      <c r="L337" s="53" t="s">
        <v>906</v>
      </c>
      <c r="M337" s="17"/>
      <c r="Z337" s="28">
        <f>IF(AQ337="5",BJ337,0)</f>
        <v>0</v>
      </c>
      <c r="AB337" s="28">
        <f>IF(AQ337="1",BH337,0)</f>
        <v>0</v>
      </c>
      <c r="AC337" s="28">
        <f>IF(AQ337="1",BI337,0)</f>
        <v>0</v>
      </c>
      <c r="AD337" s="28">
        <f>IF(AQ337="7",BH337,0)</f>
        <v>0</v>
      </c>
      <c r="AE337" s="28">
        <f>IF(AQ337="7",BI337,0)</f>
        <v>0</v>
      </c>
      <c r="AF337" s="28">
        <f>IF(AQ337="2",BH337,0)</f>
        <v>0</v>
      </c>
      <c r="AG337" s="28">
        <f>IF(AQ337="2",BI337,0)</f>
        <v>0</v>
      </c>
      <c r="AH337" s="28">
        <f>IF(AQ337="0",BJ337,0)</f>
        <v>0</v>
      </c>
      <c r="AI337" s="56" t="s">
        <v>72</v>
      </c>
      <c r="AJ337" s="60">
        <f>IF(AN337=0,K337,0)</f>
        <v>0</v>
      </c>
      <c r="AK337" s="60">
        <f>IF(AN337=15,K337,0)</f>
        <v>0</v>
      </c>
      <c r="AL337" s="60">
        <f>IF(AN337=21,K337,0)</f>
        <v>0</v>
      </c>
      <c r="AN337" s="28">
        <v>21</v>
      </c>
      <c r="AO337" s="28">
        <f>J337*0.333550618560156</f>
        <v>0</v>
      </c>
      <c r="AP337" s="28">
        <f>J337*(1-0.333550618560156)</f>
        <v>0</v>
      </c>
      <c r="AQ337" s="57" t="s">
        <v>88</v>
      </c>
      <c r="AV337" s="28">
        <f>AW337+AX337</f>
        <v>0</v>
      </c>
      <c r="AW337" s="28">
        <f>I337*AO337</f>
        <v>0</v>
      </c>
      <c r="AX337" s="28">
        <f>I337*AP337</f>
        <v>0</v>
      </c>
      <c r="AY337" s="59" t="s">
        <v>938</v>
      </c>
      <c r="AZ337" s="59" t="s">
        <v>961</v>
      </c>
      <c r="BA337" s="56" t="s">
        <v>966</v>
      </c>
      <c r="BC337" s="28">
        <f>AW337+AX337</f>
        <v>0</v>
      </c>
      <c r="BD337" s="28">
        <f>J337/(100-BE337)*100</f>
        <v>0</v>
      </c>
      <c r="BE337" s="28">
        <v>0</v>
      </c>
      <c r="BF337" s="28">
        <f>337</f>
        <v>337</v>
      </c>
      <c r="BH337" s="60">
        <f>I337*AO337</f>
        <v>0</v>
      </c>
      <c r="BI337" s="60">
        <f>I337*AP337</f>
        <v>0</v>
      </c>
      <c r="BJ337" s="60">
        <f>I337*J337</f>
        <v>0</v>
      </c>
      <c r="BK337" s="60" t="s">
        <v>971</v>
      </c>
      <c r="BL337" s="28">
        <v>764</v>
      </c>
    </row>
    <row r="338" spans="1:64" x14ac:dyDescent="0.25">
      <c r="A338" s="17"/>
      <c r="B338" s="42" t="s">
        <v>265</v>
      </c>
      <c r="C338" s="150" t="s">
        <v>750</v>
      </c>
      <c r="D338" s="151"/>
      <c r="E338" s="151"/>
      <c r="F338" s="151"/>
      <c r="G338" s="151"/>
      <c r="H338" s="151"/>
      <c r="I338" s="151"/>
      <c r="J338" s="151"/>
      <c r="K338" s="151"/>
      <c r="L338" s="152"/>
      <c r="M338" s="17"/>
    </row>
    <row r="339" spans="1:64" x14ac:dyDescent="0.25">
      <c r="A339" s="17"/>
      <c r="C339" s="148" t="s">
        <v>751</v>
      </c>
      <c r="D339" s="149"/>
      <c r="E339" s="149"/>
      <c r="F339" s="149"/>
      <c r="G339" s="149"/>
      <c r="I339" s="77">
        <v>170.82</v>
      </c>
      <c r="L339" s="14"/>
      <c r="M339" s="17"/>
    </row>
    <row r="340" spans="1:64" x14ac:dyDescent="0.25">
      <c r="A340" s="17"/>
      <c r="C340" s="148" t="s">
        <v>752</v>
      </c>
      <c r="D340" s="149"/>
      <c r="E340" s="149"/>
      <c r="F340" s="149"/>
      <c r="G340" s="149"/>
      <c r="I340" s="77">
        <v>128.11500000000001</v>
      </c>
      <c r="L340" s="14"/>
      <c r="M340" s="17"/>
    </row>
    <row r="341" spans="1:64" x14ac:dyDescent="0.25">
      <c r="A341" s="17"/>
      <c r="C341" s="148" t="s">
        <v>753</v>
      </c>
      <c r="D341" s="149"/>
      <c r="E341" s="149"/>
      <c r="F341" s="149"/>
      <c r="G341" s="149"/>
      <c r="I341" s="77">
        <v>16.988</v>
      </c>
      <c r="L341" s="14"/>
      <c r="M341" s="17"/>
    </row>
    <row r="342" spans="1:64" x14ac:dyDescent="0.25">
      <c r="A342" s="17"/>
      <c r="C342" s="148" t="s">
        <v>754</v>
      </c>
      <c r="D342" s="149"/>
      <c r="E342" s="149"/>
      <c r="F342" s="149"/>
      <c r="G342" s="149"/>
      <c r="I342" s="77">
        <v>-6.23</v>
      </c>
      <c r="L342" s="14"/>
      <c r="M342" s="17"/>
    </row>
    <row r="343" spans="1:64" x14ac:dyDescent="0.25">
      <c r="A343" s="17"/>
      <c r="C343" s="148" t="s">
        <v>755</v>
      </c>
      <c r="D343" s="149"/>
      <c r="E343" s="149"/>
      <c r="F343" s="149"/>
      <c r="G343" s="149"/>
      <c r="I343" s="77">
        <v>35.774000000000001</v>
      </c>
      <c r="L343" s="14"/>
      <c r="M343" s="17"/>
    </row>
    <row r="344" spans="1:64" x14ac:dyDescent="0.25">
      <c r="A344" s="34" t="s">
        <v>197</v>
      </c>
      <c r="B344" s="41" t="s">
        <v>389</v>
      </c>
      <c r="C344" s="146" t="s">
        <v>756</v>
      </c>
      <c r="D344" s="147"/>
      <c r="E344" s="147"/>
      <c r="F344" s="147"/>
      <c r="G344" s="147"/>
      <c r="H344" s="41" t="s">
        <v>897</v>
      </c>
      <c r="I344" s="76">
        <v>1</v>
      </c>
      <c r="J344" s="60">
        <v>0</v>
      </c>
      <c r="K344" s="60">
        <f>I344*J344</f>
        <v>0</v>
      </c>
      <c r="L344" s="53" t="s">
        <v>906</v>
      </c>
      <c r="M344" s="17"/>
      <c r="Z344" s="28">
        <f>IF(AQ344="5",BJ344,0)</f>
        <v>0</v>
      </c>
      <c r="AB344" s="28">
        <f>IF(AQ344="1",BH344,0)</f>
        <v>0</v>
      </c>
      <c r="AC344" s="28">
        <f>IF(AQ344="1",BI344,0)</f>
        <v>0</v>
      </c>
      <c r="AD344" s="28">
        <f>IF(AQ344="7",BH344,0)</f>
        <v>0</v>
      </c>
      <c r="AE344" s="28">
        <f>IF(AQ344="7",BI344,0)</f>
        <v>0</v>
      </c>
      <c r="AF344" s="28">
        <f>IF(AQ344="2",BH344,0)</f>
        <v>0</v>
      </c>
      <c r="AG344" s="28">
        <f>IF(AQ344="2",BI344,0)</f>
        <v>0</v>
      </c>
      <c r="AH344" s="28">
        <f>IF(AQ344="0",BJ344,0)</f>
        <v>0</v>
      </c>
      <c r="AI344" s="56" t="s">
        <v>72</v>
      </c>
      <c r="AJ344" s="60">
        <f>IF(AN344=0,K344,0)</f>
        <v>0</v>
      </c>
      <c r="AK344" s="60">
        <f>IF(AN344=15,K344,0)</f>
        <v>0</v>
      </c>
      <c r="AL344" s="60">
        <f>IF(AN344=21,K344,0)</f>
        <v>0</v>
      </c>
      <c r="AN344" s="28">
        <v>21</v>
      </c>
      <c r="AO344" s="28">
        <f>J344*1</f>
        <v>0</v>
      </c>
      <c r="AP344" s="28">
        <f>J344*(1-1)</f>
        <v>0</v>
      </c>
      <c r="AQ344" s="57" t="s">
        <v>88</v>
      </c>
      <c r="AV344" s="28">
        <f>AW344+AX344</f>
        <v>0</v>
      </c>
      <c r="AW344" s="28">
        <f>I344*AO344</f>
        <v>0</v>
      </c>
      <c r="AX344" s="28">
        <f>I344*AP344</f>
        <v>0</v>
      </c>
      <c r="AY344" s="59" t="s">
        <v>938</v>
      </c>
      <c r="AZ344" s="59" t="s">
        <v>961</v>
      </c>
      <c r="BA344" s="56" t="s">
        <v>966</v>
      </c>
      <c r="BC344" s="28">
        <f>AW344+AX344</f>
        <v>0</v>
      </c>
      <c r="BD344" s="28">
        <f>J344/(100-BE344)*100</f>
        <v>0</v>
      </c>
      <c r="BE344" s="28">
        <v>0</v>
      </c>
      <c r="BF344" s="28">
        <f>344</f>
        <v>344</v>
      </c>
      <c r="BH344" s="60">
        <f>I344*AO344</f>
        <v>0</v>
      </c>
      <c r="BI344" s="60">
        <f>I344*AP344</f>
        <v>0</v>
      </c>
      <c r="BJ344" s="60">
        <f>I344*J344</f>
        <v>0</v>
      </c>
      <c r="BK344" s="60" t="s">
        <v>971</v>
      </c>
      <c r="BL344" s="28">
        <v>764</v>
      </c>
    </row>
    <row r="345" spans="1:64" x14ac:dyDescent="0.25">
      <c r="A345" s="33"/>
      <c r="B345" s="40" t="s">
        <v>390</v>
      </c>
      <c r="C345" s="144" t="s">
        <v>757</v>
      </c>
      <c r="D345" s="145"/>
      <c r="E345" s="145"/>
      <c r="F345" s="145"/>
      <c r="G345" s="145"/>
      <c r="H345" s="46" t="s">
        <v>58</v>
      </c>
      <c r="I345" s="46" t="s">
        <v>58</v>
      </c>
      <c r="J345" s="46" t="s">
        <v>58</v>
      </c>
      <c r="K345" s="65">
        <f>SUM(K346:K346)</f>
        <v>0</v>
      </c>
      <c r="L345" s="52"/>
      <c r="M345" s="17"/>
      <c r="AI345" s="56" t="s">
        <v>72</v>
      </c>
      <c r="AS345" s="65">
        <f>SUM(AJ346:AJ346)</f>
        <v>0</v>
      </c>
      <c r="AT345" s="65">
        <f>SUM(AK346:AK346)</f>
        <v>0</v>
      </c>
      <c r="AU345" s="65">
        <f>SUM(AL346:AL346)</f>
        <v>0</v>
      </c>
    </row>
    <row r="346" spans="1:64" x14ac:dyDescent="0.25">
      <c r="A346" s="34" t="s">
        <v>198</v>
      </c>
      <c r="B346" s="41" t="s">
        <v>391</v>
      </c>
      <c r="C346" s="146" t="s">
        <v>758</v>
      </c>
      <c r="D346" s="147"/>
      <c r="E346" s="147"/>
      <c r="F346" s="147"/>
      <c r="G346" s="147"/>
      <c r="H346" s="41" t="s">
        <v>891</v>
      </c>
      <c r="I346" s="76">
        <v>345.46699999999998</v>
      </c>
      <c r="J346" s="60">
        <v>0</v>
      </c>
      <c r="K346" s="60">
        <f>I346*J346</f>
        <v>0</v>
      </c>
      <c r="L346" s="53" t="s">
        <v>906</v>
      </c>
      <c r="M346" s="17"/>
      <c r="Z346" s="28">
        <f>IF(AQ346="5",BJ346,0)</f>
        <v>0</v>
      </c>
      <c r="AB346" s="28">
        <f>IF(AQ346="1",BH346,0)</f>
        <v>0</v>
      </c>
      <c r="AC346" s="28">
        <f>IF(AQ346="1",BI346,0)</f>
        <v>0</v>
      </c>
      <c r="AD346" s="28">
        <f>IF(AQ346="7",BH346,0)</f>
        <v>0</v>
      </c>
      <c r="AE346" s="28">
        <f>IF(AQ346="7",BI346,0)</f>
        <v>0</v>
      </c>
      <c r="AF346" s="28">
        <f>IF(AQ346="2",BH346,0)</f>
        <v>0</v>
      </c>
      <c r="AG346" s="28">
        <f>IF(AQ346="2",BI346,0)</f>
        <v>0</v>
      </c>
      <c r="AH346" s="28">
        <f>IF(AQ346="0",BJ346,0)</f>
        <v>0</v>
      </c>
      <c r="AI346" s="56" t="s">
        <v>72</v>
      </c>
      <c r="AJ346" s="60">
        <f>IF(AN346=0,K346,0)</f>
        <v>0</v>
      </c>
      <c r="AK346" s="60">
        <f>IF(AN346=15,K346,0)</f>
        <v>0</v>
      </c>
      <c r="AL346" s="60">
        <f>IF(AN346=21,K346,0)</f>
        <v>0</v>
      </c>
      <c r="AN346" s="28">
        <v>21</v>
      </c>
      <c r="AO346" s="28">
        <f>J346*0.268931377455782</f>
        <v>0</v>
      </c>
      <c r="AP346" s="28">
        <f>J346*(1-0.268931377455782)</f>
        <v>0</v>
      </c>
      <c r="AQ346" s="57" t="s">
        <v>88</v>
      </c>
      <c r="AV346" s="28">
        <f>AW346+AX346</f>
        <v>0</v>
      </c>
      <c r="AW346" s="28">
        <f>I346*AO346</f>
        <v>0</v>
      </c>
      <c r="AX346" s="28">
        <f>I346*AP346</f>
        <v>0</v>
      </c>
      <c r="AY346" s="59" t="s">
        <v>939</v>
      </c>
      <c r="AZ346" s="59" t="s">
        <v>961</v>
      </c>
      <c r="BA346" s="56" t="s">
        <v>966</v>
      </c>
      <c r="BC346" s="28">
        <f>AW346+AX346</f>
        <v>0</v>
      </c>
      <c r="BD346" s="28">
        <f>J346/(100-BE346)*100</f>
        <v>0</v>
      </c>
      <c r="BE346" s="28">
        <v>0</v>
      </c>
      <c r="BF346" s="28">
        <f>346</f>
        <v>346</v>
      </c>
      <c r="BH346" s="60">
        <f>I346*AO346</f>
        <v>0</v>
      </c>
      <c r="BI346" s="60">
        <f>I346*AP346</f>
        <v>0</v>
      </c>
      <c r="BJ346" s="60">
        <f>I346*J346</f>
        <v>0</v>
      </c>
      <c r="BK346" s="60" t="s">
        <v>971</v>
      </c>
      <c r="BL346" s="28">
        <v>765</v>
      </c>
    </row>
    <row r="347" spans="1:64" x14ac:dyDescent="0.25">
      <c r="A347" s="17"/>
      <c r="B347" s="42" t="s">
        <v>265</v>
      </c>
      <c r="C347" s="150" t="s">
        <v>759</v>
      </c>
      <c r="D347" s="151"/>
      <c r="E347" s="151"/>
      <c r="F347" s="151"/>
      <c r="G347" s="151"/>
      <c r="H347" s="151"/>
      <c r="I347" s="151"/>
      <c r="J347" s="151"/>
      <c r="K347" s="151"/>
      <c r="L347" s="152"/>
      <c r="M347" s="17"/>
    </row>
    <row r="348" spans="1:64" x14ac:dyDescent="0.25">
      <c r="A348" s="17"/>
      <c r="C348" s="148" t="s">
        <v>751</v>
      </c>
      <c r="D348" s="149"/>
      <c r="E348" s="149"/>
      <c r="F348" s="149"/>
      <c r="G348" s="149"/>
      <c r="I348" s="77">
        <v>170.82</v>
      </c>
      <c r="L348" s="14"/>
      <c r="M348" s="17"/>
    </row>
    <row r="349" spans="1:64" x14ac:dyDescent="0.25">
      <c r="A349" s="17"/>
      <c r="C349" s="148" t="s">
        <v>752</v>
      </c>
      <c r="D349" s="149"/>
      <c r="E349" s="149"/>
      <c r="F349" s="149"/>
      <c r="G349" s="149"/>
      <c r="I349" s="77">
        <v>128.11500000000001</v>
      </c>
      <c r="L349" s="14"/>
      <c r="M349" s="17"/>
    </row>
    <row r="350" spans="1:64" x14ac:dyDescent="0.25">
      <c r="A350" s="17"/>
      <c r="C350" s="148" t="s">
        <v>760</v>
      </c>
      <c r="D350" s="149"/>
      <c r="E350" s="149"/>
      <c r="F350" s="149"/>
      <c r="G350" s="149"/>
      <c r="I350" s="77">
        <v>35.774000000000001</v>
      </c>
      <c r="L350" s="14"/>
      <c r="M350" s="17"/>
    </row>
    <row r="351" spans="1:64" x14ac:dyDescent="0.25">
      <c r="A351" s="17"/>
      <c r="C351" s="148" t="s">
        <v>761</v>
      </c>
      <c r="D351" s="149"/>
      <c r="E351" s="149"/>
      <c r="F351" s="149"/>
      <c r="G351" s="149"/>
      <c r="I351" s="77">
        <v>-6.23</v>
      </c>
      <c r="L351" s="14"/>
      <c r="M351" s="17"/>
    </row>
    <row r="352" spans="1:64" x14ac:dyDescent="0.25">
      <c r="A352" s="17"/>
      <c r="C352" s="148" t="s">
        <v>762</v>
      </c>
      <c r="D352" s="149"/>
      <c r="E352" s="149"/>
      <c r="F352" s="149"/>
      <c r="G352" s="149"/>
      <c r="I352" s="77">
        <v>16.988</v>
      </c>
      <c r="L352" s="14"/>
      <c r="M352" s="17"/>
    </row>
    <row r="353" spans="1:64" x14ac:dyDescent="0.25">
      <c r="A353" s="33"/>
      <c r="B353" s="40" t="s">
        <v>392</v>
      </c>
      <c r="C353" s="144" t="s">
        <v>763</v>
      </c>
      <c r="D353" s="145"/>
      <c r="E353" s="145"/>
      <c r="F353" s="145"/>
      <c r="G353" s="145"/>
      <c r="H353" s="46" t="s">
        <v>58</v>
      </c>
      <c r="I353" s="46" t="s">
        <v>58</v>
      </c>
      <c r="J353" s="46" t="s">
        <v>58</v>
      </c>
      <c r="K353" s="65">
        <f>SUM(K354:K373)</f>
        <v>0</v>
      </c>
      <c r="L353" s="52"/>
      <c r="M353" s="17"/>
      <c r="AI353" s="56" t="s">
        <v>72</v>
      </c>
      <c r="AS353" s="65">
        <f>SUM(AJ354:AJ373)</f>
        <v>0</v>
      </c>
      <c r="AT353" s="65">
        <f>SUM(AK354:AK373)</f>
        <v>0</v>
      </c>
      <c r="AU353" s="65">
        <f>SUM(AL354:AL373)</f>
        <v>0</v>
      </c>
    </row>
    <row r="354" spans="1:64" x14ac:dyDescent="0.25">
      <c r="A354" s="34" t="s">
        <v>199</v>
      </c>
      <c r="B354" s="41" t="s">
        <v>393</v>
      </c>
      <c r="C354" s="146" t="s">
        <v>764</v>
      </c>
      <c r="D354" s="147"/>
      <c r="E354" s="147"/>
      <c r="F354" s="147"/>
      <c r="G354" s="147"/>
      <c r="H354" s="41" t="s">
        <v>894</v>
      </c>
      <c r="I354" s="76">
        <v>8</v>
      </c>
      <c r="J354" s="60">
        <v>0</v>
      </c>
      <c r="K354" s="60">
        <f t="shared" ref="K354:K373" si="40">I354*J354</f>
        <v>0</v>
      </c>
      <c r="L354" s="53" t="s">
        <v>906</v>
      </c>
      <c r="M354" s="17"/>
      <c r="Z354" s="28">
        <f t="shared" ref="Z354:Z373" si="41">IF(AQ354="5",BJ354,0)</f>
        <v>0</v>
      </c>
      <c r="AB354" s="28">
        <f t="shared" ref="AB354:AB373" si="42">IF(AQ354="1",BH354,0)</f>
        <v>0</v>
      </c>
      <c r="AC354" s="28">
        <f t="shared" ref="AC354:AC373" si="43">IF(AQ354="1",BI354,0)</f>
        <v>0</v>
      </c>
      <c r="AD354" s="28">
        <f t="shared" ref="AD354:AD373" si="44">IF(AQ354="7",BH354,0)</f>
        <v>0</v>
      </c>
      <c r="AE354" s="28">
        <f t="shared" ref="AE354:AE373" si="45">IF(AQ354="7",BI354,0)</f>
        <v>0</v>
      </c>
      <c r="AF354" s="28">
        <f t="shared" ref="AF354:AF373" si="46">IF(AQ354="2",BH354,0)</f>
        <v>0</v>
      </c>
      <c r="AG354" s="28">
        <f t="shared" ref="AG354:AG373" si="47">IF(AQ354="2",BI354,0)</f>
        <v>0</v>
      </c>
      <c r="AH354" s="28">
        <f t="shared" ref="AH354:AH373" si="48">IF(AQ354="0",BJ354,0)</f>
        <v>0</v>
      </c>
      <c r="AI354" s="56" t="s">
        <v>72</v>
      </c>
      <c r="AJ354" s="60">
        <f t="shared" ref="AJ354:AJ373" si="49">IF(AN354=0,K354,0)</f>
        <v>0</v>
      </c>
      <c r="AK354" s="60">
        <f t="shared" ref="AK354:AK373" si="50">IF(AN354=15,K354,0)</f>
        <v>0</v>
      </c>
      <c r="AL354" s="60">
        <f t="shared" ref="AL354:AL373" si="51">IF(AN354=21,K354,0)</f>
        <v>0</v>
      </c>
      <c r="AN354" s="28">
        <v>21</v>
      </c>
      <c r="AO354" s="28">
        <f>J354*0.904102620796677</f>
        <v>0</v>
      </c>
      <c r="AP354" s="28">
        <f>J354*(1-0.904102620796677)</f>
        <v>0</v>
      </c>
      <c r="AQ354" s="57" t="s">
        <v>88</v>
      </c>
      <c r="AV354" s="28">
        <f t="shared" ref="AV354:AV373" si="52">AW354+AX354</f>
        <v>0</v>
      </c>
      <c r="AW354" s="28">
        <f t="shared" ref="AW354:AW373" si="53">I354*AO354</f>
        <v>0</v>
      </c>
      <c r="AX354" s="28">
        <f t="shared" ref="AX354:AX373" si="54">I354*AP354</f>
        <v>0</v>
      </c>
      <c r="AY354" s="59" t="s">
        <v>940</v>
      </c>
      <c r="AZ354" s="59" t="s">
        <v>961</v>
      </c>
      <c r="BA354" s="56" t="s">
        <v>966</v>
      </c>
      <c r="BC354" s="28">
        <f t="shared" ref="BC354:BC373" si="55">AW354+AX354</f>
        <v>0</v>
      </c>
      <c r="BD354" s="28">
        <f t="shared" ref="BD354:BD373" si="56">J354/(100-BE354)*100</f>
        <v>0</v>
      </c>
      <c r="BE354" s="28">
        <v>0</v>
      </c>
      <c r="BF354" s="28">
        <f>354</f>
        <v>354</v>
      </c>
      <c r="BH354" s="60">
        <f t="shared" ref="BH354:BH373" si="57">I354*AO354</f>
        <v>0</v>
      </c>
      <c r="BI354" s="60">
        <f t="shared" ref="BI354:BI373" si="58">I354*AP354</f>
        <v>0</v>
      </c>
      <c r="BJ354" s="60">
        <f t="shared" ref="BJ354:BJ373" si="59">I354*J354</f>
        <v>0</v>
      </c>
      <c r="BK354" s="60" t="s">
        <v>971</v>
      </c>
      <c r="BL354" s="28">
        <v>766</v>
      </c>
    </row>
    <row r="355" spans="1:64" x14ac:dyDescent="0.25">
      <c r="A355" s="34" t="s">
        <v>200</v>
      </c>
      <c r="B355" s="41" t="s">
        <v>394</v>
      </c>
      <c r="C355" s="146" t="s">
        <v>765</v>
      </c>
      <c r="D355" s="147"/>
      <c r="E355" s="147"/>
      <c r="F355" s="147"/>
      <c r="G355" s="147"/>
      <c r="H355" s="41" t="s">
        <v>897</v>
      </c>
      <c r="I355" s="76">
        <v>1</v>
      </c>
      <c r="J355" s="60">
        <v>0</v>
      </c>
      <c r="K355" s="60">
        <f t="shared" si="40"/>
        <v>0</v>
      </c>
      <c r="L355" s="53" t="s">
        <v>906</v>
      </c>
      <c r="M355" s="17"/>
      <c r="Z355" s="28">
        <f t="shared" si="41"/>
        <v>0</v>
      </c>
      <c r="AB355" s="28">
        <f t="shared" si="42"/>
        <v>0</v>
      </c>
      <c r="AC355" s="28">
        <f t="shared" si="43"/>
        <v>0</v>
      </c>
      <c r="AD355" s="28">
        <f t="shared" si="44"/>
        <v>0</v>
      </c>
      <c r="AE355" s="28">
        <f t="shared" si="45"/>
        <v>0</v>
      </c>
      <c r="AF355" s="28">
        <f t="shared" si="46"/>
        <v>0</v>
      </c>
      <c r="AG355" s="28">
        <f t="shared" si="47"/>
        <v>0</v>
      </c>
      <c r="AH355" s="28">
        <f t="shared" si="48"/>
        <v>0</v>
      </c>
      <c r="AI355" s="56" t="s">
        <v>72</v>
      </c>
      <c r="AJ355" s="60">
        <f t="shared" si="49"/>
        <v>0</v>
      </c>
      <c r="AK355" s="60">
        <f t="shared" si="50"/>
        <v>0</v>
      </c>
      <c r="AL355" s="60">
        <f t="shared" si="51"/>
        <v>0</v>
      </c>
      <c r="AN355" s="28">
        <v>21</v>
      </c>
      <c r="AO355" s="28">
        <f t="shared" ref="AO355:AO373" si="60">J355*1</f>
        <v>0</v>
      </c>
      <c r="AP355" s="28">
        <f t="shared" ref="AP355:AP373" si="61">J355*(1-1)</f>
        <v>0</v>
      </c>
      <c r="AQ355" s="57" t="s">
        <v>88</v>
      </c>
      <c r="AV355" s="28">
        <f t="shared" si="52"/>
        <v>0</v>
      </c>
      <c r="AW355" s="28">
        <f t="shared" si="53"/>
        <v>0</v>
      </c>
      <c r="AX355" s="28">
        <f t="shared" si="54"/>
        <v>0</v>
      </c>
      <c r="AY355" s="59" t="s">
        <v>940</v>
      </c>
      <c r="AZ355" s="59" t="s">
        <v>961</v>
      </c>
      <c r="BA355" s="56" t="s">
        <v>966</v>
      </c>
      <c r="BC355" s="28">
        <f t="shared" si="55"/>
        <v>0</v>
      </c>
      <c r="BD355" s="28">
        <f t="shared" si="56"/>
        <v>0</v>
      </c>
      <c r="BE355" s="28">
        <v>0</v>
      </c>
      <c r="BF355" s="28">
        <f>355</f>
        <v>355</v>
      </c>
      <c r="BH355" s="60">
        <f t="shared" si="57"/>
        <v>0</v>
      </c>
      <c r="BI355" s="60">
        <f t="shared" si="58"/>
        <v>0</v>
      </c>
      <c r="BJ355" s="60">
        <f t="shared" si="59"/>
        <v>0</v>
      </c>
      <c r="BK355" s="60" t="s">
        <v>971</v>
      </c>
      <c r="BL355" s="28">
        <v>766</v>
      </c>
    </row>
    <row r="356" spans="1:64" x14ac:dyDescent="0.25">
      <c r="A356" s="34" t="s">
        <v>201</v>
      </c>
      <c r="B356" s="41" t="s">
        <v>395</v>
      </c>
      <c r="C356" s="146" t="s">
        <v>766</v>
      </c>
      <c r="D356" s="147"/>
      <c r="E356" s="147"/>
      <c r="F356" s="147"/>
      <c r="G356" s="147"/>
      <c r="H356" s="41" t="s">
        <v>897</v>
      </c>
      <c r="I356" s="76">
        <v>3</v>
      </c>
      <c r="J356" s="60">
        <v>0</v>
      </c>
      <c r="K356" s="60">
        <f t="shared" si="40"/>
        <v>0</v>
      </c>
      <c r="L356" s="53" t="s">
        <v>906</v>
      </c>
      <c r="M356" s="17"/>
      <c r="Z356" s="28">
        <f t="shared" si="41"/>
        <v>0</v>
      </c>
      <c r="AB356" s="28">
        <f t="shared" si="42"/>
        <v>0</v>
      </c>
      <c r="AC356" s="28">
        <f t="shared" si="43"/>
        <v>0</v>
      </c>
      <c r="AD356" s="28">
        <f t="shared" si="44"/>
        <v>0</v>
      </c>
      <c r="AE356" s="28">
        <f t="shared" si="45"/>
        <v>0</v>
      </c>
      <c r="AF356" s="28">
        <f t="shared" si="46"/>
        <v>0</v>
      </c>
      <c r="AG356" s="28">
        <f t="shared" si="47"/>
        <v>0</v>
      </c>
      <c r="AH356" s="28">
        <f t="shared" si="48"/>
        <v>0</v>
      </c>
      <c r="AI356" s="56" t="s">
        <v>72</v>
      </c>
      <c r="AJ356" s="60">
        <f t="shared" si="49"/>
        <v>0</v>
      </c>
      <c r="AK356" s="60">
        <f t="shared" si="50"/>
        <v>0</v>
      </c>
      <c r="AL356" s="60">
        <f t="shared" si="51"/>
        <v>0</v>
      </c>
      <c r="AN356" s="28">
        <v>21</v>
      </c>
      <c r="AO356" s="28">
        <f t="shared" si="60"/>
        <v>0</v>
      </c>
      <c r="AP356" s="28">
        <f t="shared" si="61"/>
        <v>0</v>
      </c>
      <c r="AQ356" s="57" t="s">
        <v>88</v>
      </c>
      <c r="AV356" s="28">
        <f t="shared" si="52"/>
        <v>0</v>
      </c>
      <c r="AW356" s="28">
        <f t="shared" si="53"/>
        <v>0</v>
      </c>
      <c r="AX356" s="28">
        <f t="shared" si="54"/>
        <v>0</v>
      </c>
      <c r="AY356" s="59" t="s">
        <v>940</v>
      </c>
      <c r="AZ356" s="59" t="s">
        <v>961</v>
      </c>
      <c r="BA356" s="56" t="s">
        <v>966</v>
      </c>
      <c r="BC356" s="28">
        <f t="shared" si="55"/>
        <v>0</v>
      </c>
      <c r="BD356" s="28">
        <f t="shared" si="56"/>
        <v>0</v>
      </c>
      <c r="BE356" s="28">
        <v>0</v>
      </c>
      <c r="BF356" s="28">
        <f>356</f>
        <v>356</v>
      </c>
      <c r="BH356" s="60">
        <f t="shared" si="57"/>
        <v>0</v>
      </c>
      <c r="BI356" s="60">
        <f t="shared" si="58"/>
        <v>0</v>
      </c>
      <c r="BJ356" s="60">
        <f t="shared" si="59"/>
        <v>0</v>
      </c>
      <c r="BK356" s="60" t="s">
        <v>971</v>
      </c>
      <c r="BL356" s="28">
        <v>766</v>
      </c>
    </row>
    <row r="357" spans="1:64" x14ac:dyDescent="0.25">
      <c r="A357" s="34" t="s">
        <v>202</v>
      </c>
      <c r="B357" s="41" t="s">
        <v>396</v>
      </c>
      <c r="C357" s="146" t="s">
        <v>767</v>
      </c>
      <c r="D357" s="147"/>
      <c r="E357" s="147"/>
      <c r="F357" s="147"/>
      <c r="G357" s="147"/>
      <c r="H357" s="41" t="s">
        <v>897</v>
      </c>
      <c r="I357" s="76">
        <v>3</v>
      </c>
      <c r="J357" s="60">
        <v>0</v>
      </c>
      <c r="K357" s="60">
        <f t="shared" si="40"/>
        <v>0</v>
      </c>
      <c r="L357" s="53" t="s">
        <v>906</v>
      </c>
      <c r="M357" s="17"/>
      <c r="Z357" s="28">
        <f t="shared" si="41"/>
        <v>0</v>
      </c>
      <c r="AB357" s="28">
        <f t="shared" si="42"/>
        <v>0</v>
      </c>
      <c r="AC357" s="28">
        <f t="shared" si="43"/>
        <v>0</v>
      </c>
      <c r="AD357" s="28">
        <f t="shared" si="44"/>
        <v>0</v>
      </c>
      <c r="AE357" s="28">
        <f t="shared" si="45"/>
        <v>0</v>
      </c>
      <c r="AF357" s="28">
        <f t="shared" si="46"/>
        <v>0</v>
      </c>
      <c r="AG357" s="28">
        <f t="shared" si="47"/>
        <v>0</v>
      </c>
      <c r="AH357" s="28">
        <f t="shared" si="48"/>
        <v>0</v>
      </c>
      <c r="AI357" s="56" t="s">
        <v>72</v>
      </c>
      <c r="AJ357" s="60">
        <f t="shared" si="49"/>
        <v>0</v>
      </c>
      <c r="AK357" s="60">
        <f t="shared" si="50"/>
        <v>0</v>
      </c>
      <c r="AL357" s="60">
        <f t="shared" si="51"/>
        <v>0</v>
      </c>
      <c r="AN357" s="28">
        <v>21</v>
      </c>
      <c r="AO357" s="28">
        <f t="shared" si="60"/>
        <v>0</v>
      </c>
      <c r="AP357" s="28">
        <f t="shared" si="61"/>
        <v>0</v>
      </c>
      <c r="AQ357" s="57" t="s">
        <v>88</v>
      </c>
      <c r="AV357" s="28">
        <f t="shared" si="52"/>
        <v>0</v>
      </c>
      <c r="AW357" s="28">
        <f t="shared" si="53"/>
        <v>0</v>
      </c>
      <c r="AX357" s="28">
        <f t="shared" si="54"/>
        <v>0</v>
      </c>
      <c r="AY357" s="59" t="s">
        <v>940</v>
      </c>
      <c r="AZ357" s="59" t="s">
        <v>961</v>
      </c>
      <c r="BA357" s="56" t="s">
        <v>966</v>
      </c>
      <c r="BC357" s="28">
        <f t="shared" si="55"/>
        <v>0</v>
      </c>
      <c r="BD357" s="28">
        <f t="shared" si="56"/>
        <v>0</v>
      </c>
      <c r="BE357" s="28">
        <v>0</v>
      </c>
      <c r="BF357" s="28">
        <f>357</f>
        <v>357</v>
      </c>
      <c r="BH357" s="60">
        <f t="shared" si="57"/>
        <v>0</v>
      </c>
      <c r="BI357" s="60">
        <f t="shared" si="58"/>
        <v>0</v>
      </c>
      <c r="BJ357" s="60">
        <f t="shared" si="59"/>
        <v>0</v>
      </c>
      <c r="BK357" s="60" t="s">
        <v>971</v>
      </c>
      <c r="BL357" s="28">
        <v>766</v>
      </c>
    </row>
    <row r="358" spans="1:64" x14ac:dyDescent="0.25">
      <c r="A358" s="34" t="s">
        <v>203</v>
      </c>
      <c r="B358" s="41" t="s">
        <v>397</v>
      </c>
      <c r="C358" s="146" t="s">
        <v>768</v>
      </c>
      <c r="D358" s="147"/>
      <c r="E358" s="147"/>
      <c r="F358" s="147"/>
      <c r="G358" s="147"/>
      <c r="H358" s="41" t="s">
        <v>897</v>
      </c>
      <c r="I358" s="76">
        <v>1</v>
      </c>
      <c r="J358" s="60">
        <v>0</v>
      </c>
      <c r="K358" s="60">
        <f t="shared" si="40"/>
        <v>0</v>
      </c>
      <c r="L358" s="53" t="s">
        <v>906</v>
      </c>
      <c r="M358" s="17"/>
      <c r="Z358" s="28">
        <f t="shared" si="41"/>
        <v>0</v>
      </c>
      <c r="AB358" s="28">
        <f t="shared" si="42"/>
        <v>0</v>
      </c>
      <c r="AC358" s="28">
        <f t="shared" si="43"/>
        <v>0</v>
      </c>
      <c r="AD358" s="28">
        <f t="shared" si="44"/>
        <v>0</v>
      </c>
      <c r="AE358" s="28">
        <f t="shared" si="45"/>
        <v>0</v>
      </c>
      <c r="AF358" s="28">
        <f t="shared" si="46"/>
        <v>0</v>
      </c>
      <c r="AG358" s="28">
        <f t="shared" si="47"/>
        <v>0</v>
      </c>
      <c r="AH358" s="28">
        <f t="shared" si="48"/>
        <v>0</v>
      </c>
      <c r="AI358" s="56" t="s">
        <v>72</v>
      </c>
      <c r="AJ358" s="60">
        <f t="shared" si="49"/>
        <v>0</v>
      </c>
      <c r="AK358" s="60">
        <f t="shared" si="50"/>
        <v>0</v>
      </c>
      <c r="AL358" s="60">
        <f t="shared" si="51"/>
        <v>0</v>
      </c>
      <c r="AN358" s="28">
        <v>21</v>
      </c>
      <c r="AO358" s="28">
        <f t="shared" si="60"/>
        <v>0</v>
      </c>
      <c r="AP358" s="28">
        <f t="shared" si="61"/>
        <v>0</v>
      </c>
      <c r="AQ358" s="57" t="s">
        <v>88</v>
      </c>
      <c r="AV358" s="28">
        <f t="shared" si="52"/>
        <v>0</v>
      </c>
      <c r="AW358" s="28">
        <f t="shared" si="53"/>
        <v>0</v>
      </c>
      <c r="AX358" s="28">
        <f t="shared" si="54"/>
        <v>0</v>
      </c>
      <c r="AY358" s="59" t="s">
        <v>940</v>
      </c>
      <c r="AZ358" s="59" t="s">
        <v>961</v>
      </c>
      <c r="BA358" s="56" t="s">
        <v>966</v>
      </c>
      <c r="BC358" s="28">
        <f t="shared" si="55"/>
        <v>0</v>
      </c>
      <c r="BD358" s="28">
        <f t="shared" si="56"/>
        <v>0</v>
      </c>
      <c r="BE358" s="28">
        <v>0</v>
      </c>
      <c r="BF358" s="28">
        <f>358</f>
        <v>358</v>
      </c>
      <c r="BH358" s="60">
        <f t="shared" si="57"/>
        <v>0</v>
      </c>
      <c r="BI358" s="60">
        <f t="shared" si="58"/>
        <v>0</v>
      </c>
      <c r="BJ358" s="60">
        <f t="shared" si="59"/>
        <v>0</v>
      </c>
      <c r="BK358" s="60" t="s">
        <v>971</v>
      </c>
      <c r="BL358" s="28">
        <v>766</v>
      </c>
    </row>
    <row r="359" spans="1:64" x14ac:dyDescent="0.25">
      <c r="A359" s="34" t="s">
        <v>204</v>
      </c>
      <c r="B359" s="41" t="s">
        <v>398</v>
      </c>
      <c r="C359" s="146" t="s">
        <v>769</v>
      </c>
      <c r="D359" s="147"/>
      <c r="E359" s="147"/>
      <c r="F359" s="147"/>
      <c r="G359" s="147"/>
      <c r="H359" s="41" t="s">
        <v>897</v>
      </c>
      <c r="I359" s="76">
        <v>2</v>
      </c>
      <c r="J359" s="60">
        <v>0</v>
      </c>
      <c r="K359" s="60">
        <f t="shared" si="40"/>
        <v>0</v>
      </c>
      <c r="L359" s="53" t="s">
        <v>906</v>
      </c>
      <c r="M359" s="17"/>
      <c r="Z359" s="28">
        <f t="shared" si="41"/>
        <v>0</v>
      </c>
      <c r="AB359" s="28">
        <f t="shared" si="42"/>
        <v>0</v>
      </c>
      <c r="AC359" s="28">
        <f t="shared" si="43"/>
        <v>0</v>
      </c>
      <c r="AD359" s="28">
        <f t="shared" si="44"/>
        <v>0</v>
      </c>
      <c r="AE359" s="28">
        <f t="shared" si="45"/>
        <v>0</v>
      </c>
      <c r="AF359" s="28">
        <f t="shared" si="46"/>
        <v>0</v>
      </c>
      <c r="AG359" s="28">
        <f t="shared" si="47"/>
        <v>0</v>
      </c>
      <c r="AH359" s="28">
        <f t="shared" si="48"/>
        <v>0</v>
      </c>
      <c r="AI359" s="56" t="s">
        <v>72</v>
      </c>
      <c r="AJ359" s="60">
        <f t="shared" si="49"/>
        <v>0</v>
      </c>
      <c r="AK359" s="60">
        <f t="shared" si="50"/>
        <v>0</v>
      </c>
      <c r="AL359" s="60">
        <f t="shared" si="51"/>
        <v>0</v>
      </c>
      <c r="AN359" s="28">
        <v>21</v>
      </c>
      <c r="AO359" s="28">
        <f t="shared" si="60"/>
        <v>0</v>
      </c>
      <c r="AP359" s="28">
        <f t="shared" si="61"/>
        <v>0</v>
      </c>
      <c r="AQ359" s="57" t="s">
        <v>88</v>
      </c>
      <c r="AV359" s="28">
        <f t="shared" si="52"/>
        <v>0</v>
      </c>
      <c r="AW359" s="28">
        <f t="shared" si="53"/>
        <v>0</v>
      </c>
      <c r="AX359" s="28">
        <f t="shared" si="54"/>
        <v>0</v>
      </c>
      <c r="AY359" s="59" t="s">
        <v>940</v>
      </c>
      <c r="AZ359" s="59" t="s">
        <v>961</v>
      </c>
      <c r="BA359" s="56" t="s">
        <v>966</v>
      </c>
      <c r="BC359" s="28">
        <f t="shared" si="55"/>
        <v>0</v>
      </c>
      <c r="BD359" s="28">
        <f t="shared" si="56"/>
        <v>0</v>
      </c>
      <c r="BE359" s="28">
        <v>0</v>
      </c>
      <c r="BF359" s="28">
        <f>359</f>
        <v>359</v>
      </c>
      <c r="BH359" s="60">
        <f t="shared" si="57"/>
        <v>0</v>
      </c>
      <c r="BI359" s="60">
        <f t="shared" si="58"/>
        <v>0</v>
      </c>
      <c r="BJ359" s="60">
        <f t="shared" si="59"/>
        <v>0</v>
      </c>
      <c r="BK359" s="60" t="s">
        <v>971</v>
      </c>
      <c r="BL359" s="28">
        <v>766</v>
      </c>
    </row>
    <row r="360" spans="1:64" x14ac:dyDescent="0.25">
      <c r="A360" s="34" t="s">
        <v>205</v>
      </c>
      <c r="B360" s="41" t="s">
        <v>399</v>
      </c>
      <c r="C360" s="146" t="s">
        <v>770</v>
      </c>
      <c r="D360" s="147"/>
      <c r="E360" s="147"/>
      <c r="F360" s="147"/>
      <c r="G360" s="147"/>
      <c r="H360" s="41" t="s">
        <v>897</v>
      </c>
      <c r="I360" s="76">
        <v>2</v>
      </c>
      <c r="J360" s="60">
        <v>0</v>
      </c>
      <c r="K360" s="60">
        <f t="shared" si="40"/>
        <v>0</v>
      </c>
      <c r="L360" s="53" t="s">
        <v>906</v>
      </c>
      <c r="M360" s="17"/>
      <c r="Z360" s="28">
        <f t="shared" si="41"/>
        <v>0</v>
      </c>
      <c r="AB360" s="28">
        <f t="shared" si="42"/>
        <v>0</v>
      </c>
      <c r="AC360" s="28">
        <f t="shared" si="43"/>
        <v>0</v>
      </c>
      <c r="AD360" s="28">
        <f t="shared" si="44"/>
        <v>0</v>
      </c>
      <c r="AE360" s="28">
        <f t="shared" si="45"/>
        <v>0</v>
      </c>
      <c r="AF360" s="28">
        <f t="shared" si="46"/>
        <v>0</v>
      </c>
      <c r="AG360" s="28">
        <f t="shared" si="47"/>
        <v>0</v>
      </c>
      <c r="AH360" s="28">
        <f t="shared" si="48"/>
        <v>0</v>
      </c>
      <c r="AI360" s="56" t="s">
        <v>72</v>
      </c>
      <c r="AJ360" s="60">
        <f t="shared" si="49"/>
        <v>0</v>
      </c>
      <c r="AK360" s="60">
        <f t="shared" si="50"/>
        <v>0</v>
      </c>
      <c r="AL360" s="60">
        <f t="shared" si="51"/>
        <v>0</v>
      </c>
      <c r="AN360" s="28">
        <v>21</v>
      </c>
      <c r="AO360" s="28">
        <f t="shared" si="60"/>
        <v>0</v>
      </c>
      <c r="AP360" s="28">
        <f t="shared" si="61"/>
        <v>0</v>
      </c>
      <c r="AQ360" s="57" t="s">
        <v>88</v>
      </c>
      <c r="AV360" s="28">
        <f t="shared" si="52"/>
        <v>0</v>
      </c>
      <c r="AW360" s="28">
        <f t="shared" si="53"/>
        <v>0</v>
      </c>
      <c r="AX360" s="28">
        <f t="shared" si="54"/>
        <v>0</v>
      </c>
      <c r="AY360" s="59" t="s">
        <v>940</v>
      </c>
      <c r="AZ360" s="59" t="s">
        <v>961</v>
      </c>
      <c r="BA360" s="56" t="s">
        <v>966</v>
      </c>
      <c r="BC360" s="28">
        <f t="shared" si="55"/>
        <v>0</v>
      </c>
      <c r="BD360" s="28">
        <f t="shared" si="56"/>
        <v>0</v>
      </c>
      <c r="BE360" s="28">
        <v>0</v>
      </c>
      <c r="BF360" s="28">
        <f>360</f>
        <v>360</v>
      </c>
      <c r="BH360" s="60">
        <f t="shared" si="57"/>
        <v>0</v>
      </c>
      <c r="BI360" s="60">
        <f t="shared" si="58"/>
        <v>0</v>
      </c>
      <c r="BJ360" s="60">
        <f t="shared" si="59"/>
        <v>0</v>
      </c>
      <c r="BK360" s="60" t="s">
        <v>971</v>
      </c>
      <c r="BL360" s="28">
        <v>766</v>
      </c>
    </row>
    <row r="361" spans="1:64" x14ac:dyDescent="0.25">
      <c r="A361" s="34" t="s">
        <v>206</v>
      </c>
      <c r="B361" s="41" t="s">
        <v>400</v>
      </c>
      <c r="C361" s="146" t="s">
        <v>771</v>
      </c>
      <c r="D361" s="147"/>
      <c r="E361" s="147"/>
      <c r="F361" s="147"/>
      <c r="G361" s="147"/>
      <c r="H361" s="41" t="s">
        <v>897</v>
      </c>
      <c r="I361" s="76">
        <v>1</v>
      </c>
      <c r="J361" s="60">
        <v>0</v>
      </c>
      <c r="K361" s="60">
        <f t="shared" si="40"/>
        <v>0</v>
      </c>
      <c r="L361" s="53" t="s">
        <v>906</v>
      </c>
      <c r="M361" s="17"/>
      <c r="Z361" s="28">
        <f t="shared" si="41"/>
        <v>0</v>
      </c>
      <c r="AB361" s="28">
        <f t="shared" si="42"/>
        <v>0</v>
      </c>
      <c r="AC361" s="28">
        <f t="shared" si="43"/>
        <v>0</v>
      </c>
      <c r="AD361" s="28">
        <f t="shared" si="44"/>
        <v>0</v>
      </c>
      <c r="AE361" s="28">
        <f t="shared" si="45"/>
        <v>0</v>
      </c>
      <c r="AF361" s="28">
        <f t="shared" si="46"/>
        <v>0</v>
      </c>
      <c r="AG361" s="28">
        <f t="shared" si="47"/>
        <v>0</v>
      </c>
      <c r="AH361" s="28">
        <f t="shared" si="48"/>
        <v>0</v>
      </c>
      <c r="AI361" s="56" t="s">
        <v>72</v>
      </c>
      <c r="AJ361" s="60">
        <f t="shared" si="49"/>
        <v>0</v>
      </c>
      <c r="AK361" s="60">
        <f t="shared" si="50"/>
        <v>0</v>
      </c>
      <c r="AL361" s="60">
        <f t="shared" si="51"/>
        <v>0</v>
      </c>
      <c r="AN361" s="28">
        <v>21</v>
      </c>
      <c r="AO361" s="28">
        <f t="shared" si="60"/>
        <v>0</v>
      </c>
      <c r="AP361" s="28">
        <f t="shared" si="61"/>
        <v>0</v>
      </c>
      <c r="AQ361" s="57" t="s">
        <v>88</v>
      </c>
      <c r="AV361" s="28">
        <f t="shared" si="52"/>
        <v>0</v>
      </c>
      <c r="AW361" s="28">
        <f t="shared" si="53"/>
        <v>0</v>
      </c>
      <c r="AX361" s="28">
        <f t="shared" si="54"/>
        <v>0</v>
      </c>
      <c r="AY361" s="59" t="s">
        <v>940</v>
      </c>
      <c r="AZ361" s="59" t="s">
        <v>961</v>
      </c>
      <c r="BA361" s="56" t="s">
        <v>966</v>
      </c>
      <c r="BC361" s="28">
        <f t="shared" si="55"/>
        <v>0</v>
      </c>
      <c r="BD361" s="28">
        <f t="shared" si="56"/>
        <v>0</v>
      </c>
      <c r="BE361" s="28">
        <v>0</v>
      </c>
      <c r="BF361" s="28">
        <f>361</f>
        <v>361</v>
      </c>
      <c r="BH361" s="60">
        <f t="shared" si="57"/>
        <v>0</v>
      </c>
      <c r="BI361" s="60">
        <f t="shared" si="58"/>
        <v>0</v>
      </c>
      <c r="BJ361" s="60">
        <f t="shared" si="59"/>
        <v>0</v>
      </c>
      <c r="BK361" s="60" t="s">
        <v>971</v>
      </c>
      <c r="BL361" s="28">
        <v>766</v>
      </c>
    </row>
    <row r="362" spans="1:64" x14ac:dyDescent="0.25">
      <c r="A362" s="34" t="s">
        <v>207</v>
      </c>
      <c r="B362" s="41" t="s">
        <v>401</v>
      </c>
      <c r="C362" s="146" t="s">
        <v>767</v>
      </c>
      <c r="D362" s="147"/>
      <c r="E362" s="147"/>
      <c r="F362" s="147"/>
      <c r="G362" s="147"/>
      <c r="H362" s="41" t="s">
        <v>897</v>
      </c>
      <c r="I362" s="76">
        <v>3</v>
      </c>
      <c r="J362" s="60">
        <v>0</v>
      </c>
      <c r="K362" s="60">
        <f t="shared" si="40"/>
        <v>0</v>
      </c>
      <c r="L362" s="53" t="s">
        <v>906</v>
      </c>
      <c r="M362" s="17"/>
      <c r="Z362" s="28">
        <f t="shared" si="41"/>
        <v>0</v>
      </c>
      <c r="AB362" s="28">
        <f t="shared" si="42"/>
        <v>0</v>
      </c>
      <c r="AC362" s="28">
        <f t="shared" si="43"/>
        <v>0</v>
      </c>
      <c r="AD362" s="28">
        <f t="shared" si="44"/>
        <v>0</v>
      </c>
      <c r="AE362" s="28">
        <f t="shared" si="45"/>
        <v>0</v>
      </c>
      <c r="AF362" s="28">
        <f t="shared" si="46"/>
        <v>0</v>
      </c>
      <c r="AG362" s="28">
        <f t="shared" si="47"/>
        <v>0</v>
      </c>
      <c r="AH362" s="28">
        <f t="shared" si="48"/>
        <v>0</v>
      </c>
      <c r="AI362" s="56" t="s">
        <v>72</v>
      </c>
      <c r="AJ362" s="60">
        <f t="shared" si="49"/>
        <v>0</v>
      </c>
      <c r="AK362" s="60">
        <f t="shared" si="50"/>
        <v>0</v>
      </c>
      <c r="AL362" s="60">
        <f t="shared" si="51"/>
        <v>0</v>
      </c>
      <c r="AN362" s="28">
        <v>21</v>
      </c>
      <c r="AO362" s="28">
        <f t="shared" si="60"/>
        <v>0</v>
      </c>
      <c r="AP362" s="28">
        <f t="shared" si="61"/>
        <v>0</v>
      </c>
      <c r="AQ362" s="57" t="s">
        <v>88</v>
      </c>
      <c r="AV362" s="28">
        <f t="shared" si="52"/>
        <v>0</v>
      </c>
      <c r="AW362" s="28">
        <f t="shared" si="53"/>
        <v>0</v>
      </c>
      <c r="AX362" s="28">
        <f t="shared" si="54"/>
        <v>0</v>
      </c>
      <c r="AY362" s="59" t="s">
        <v>940</v>
      </c>
      <c r="AZ362" s="59" t="s">
        <v>961</v>
      </c>
      <c r="BA362" s="56" t="s">
        <v>966</v>
      </c>
      <c r="BC362" s="28">
        <f t="shared" si="55"/>
        <v>0</v>
      </c>
      <c r="BD362" s="28">
        <f t="shared" si="56"/>
        <v>0</v>
      </c>
      <c r="BE362" s="28">
        <v>0</v>
      </c>
      <c r="BF362" s="28">
        <f>362</f>
        <v>362</v>
      </c>
      <c r="BH362" s="60">
        <f t="shared" si="57"/>
        <v>0</v>
      </c>
      <c r="BI362" s="60">
        <f t="shared" si="58"/>
        <v>0</v>
      </c>
      <c r="BJ362" s="60">
        <f t="shared" si="59"/>
        <v>0</v>
      </c>
      <c r="BK362" s="60" t="s">
        <v>971</v>
      </c>
      <c r="BL362" s="28">
        <v>766</v>
      </c>
    </row>
    <row r="363" spans="1:64" x14ac:dyDescent="0.25">
      <c r="A363" s="34" t="s">
        <v>208</v>
      </c>
      <c r="B363" s="41" t="s">
        <v>402</v>
      </c>
      <c r="C363" s="146" t="s">
        <v>770</v>
      </c>
      <c r="D363" s="147"/>
      <c r="E363" s="147"/>
      <c r="F363" s="147"/>
      <c r="G363" s="147"/>
      <c r="H363" s="41" t="s">
        <v>897</v>
      </c>
      <c r="I363" s="76">
        <v>1</v>
      </c>
      <c r="J363" s="60">
        <v>0</v>
      </c>
      <c r="K363" s="60">
        <f t="shared" si="40"/>
        <v>0</v>
      </c>
      <c r="L363" s="53" t="s">
        <v>906</v>
      </c>
      <c r="M363" s="17"/>
      <c r="Z363" s="28">
        <f t="shared" si="41"/>
        <v>0</v>
      </c>
      <c r="AB363" s="28">
        <f t="shared" si="42"/>
        <v>0</v>
      </c>
      <c r="AC363" s="28">
        <f t="shared" si="43"/>
        <v>0</v>
      </c>
      <c r="AD363" s="28">
        <f t="shared" si="44"/>
        <v>0</v>
      </c>
      <c r="AE363" s="28">
        <f t="shared" si="45"/>
        <v>0</v>
      </c>
      <c r="AF363" s="28">
        <f t="shared" si="46"/>
        <v>0</v>
      </c>
      <c r="AG363" s="28">
        <f t="shared" si="47"/>
        <v>0</v>
      </c>
      <c r="AH363" s="28">
        <f t="shared" si="48"/>
        <v>0</v>
      </c>
      <c r="AI363" s="56" t="s">
        <v>72</v>
      </c>
      <c r="AJ363" s="60">
        <f t="shared" si="49"/>
        <v>0</v>
      </c>
      <c r="AK363" s="60">
        <f t="shared" si="50"/>
        <v>0</v>
      </c>
      <c r="AL363" s="60">
        <f t="shared" si="51"/>
        <v>0</v>
      </c>
      <c r="AN363" s="28">
        <v>21</v>
      </c>
      <c r="AO363" s="28">
        <f t="shared" si="60"/>
        <v>0</v>
      </c>
      <c r="AP363" s="28">
        <f t="shared" si="61"/>
        <v>0</v>
      </c>
      <c r="AQ363" s="57" t="s">
        <v>88</v>
      </c>
      <c r="AV363" s="28">
        <f t="shared" si="52"/>
        <v>0</v>
      </c>
      <c r="AW363" s="28">
        <f t="shared" si="53"/>
        <v>0</v>
      </c>
      <c r="AX363" s="28">
        <f t="shared" si="54"/>
        <v>0</v>
      </c>
      <c r="AY363" s="59" t="s">
        <v>940</v>
      </c>
      <c r="AZ363" s="59" t="s">
        <v>961</v>
      </c>
      <c r="BA363" s="56" t="s">
        <v>966</v>
      </c>
      <c r="BC363" s="28">
        <f t="shared" si="55"/>
        <v>0</v>
      </c>
      <c r="BD363" s="28">
        <f t="shared" si="56"/>
        <v>0</v>
      </c>
      <c r="BE363" s="28">
        <v>0</v>
      </c>
      <c r="BF363" s="28">
        <f>363</f>
        <v>363</v>
      </c>
      <c r="BH363" s="60">
        <f t="shared" si="57"/>
        <v>0</v>
      </c>
      <c r="BI363" s="60">
        <f t="shared" si="58"/>
        <v>0</v>
      </c>
      <c r="BJ363" s="60">
        <f t="shared" si="59"/>
        <v>0</v>
      </c>
      <c r="BK363" s="60" t="s">
        <v>971</v>
      </c>
      <c r="BL363" s="28">
        <v>766</v>
      </c>
    </row>
    <row r="364" spans="1:64" x14ac:dyDescent="0.25">
      <c r="A364" s="34" t="s">
        <v>209</v>
      </c>
      <c r="B364" s="41" t="s">
        <v>403</v>
      </c>
      <c r="C364" s="146" t="s">
        <v>772</v>
      </c>
      <c r="D364" s="147"/>
      <c r="E364" s="147"/>
      <c r="F364" s="147"/>
      <c r="G364" s="147"/>
      <c r="H364" s="41" t="s">
        <v>897</v>
      </c>
      <c r="I364" s="76">
        <v>1</v>
      </c>
      <c r="J364" s="60">
        <v>0</v>
      </c>
      <c r="K364" s="60">
        <f t="shared" si="40"/>
        <v>0</v>
      </c>
      <c r="L364" s="53" t="s">
        <v>906</v>
      </c>
      <c r="M364" s="17"/>
      <c r="Z364" s="28">
        <f t="shared" si="41"/>
        <v>0</v>
      </c>
      <c r="AB364" s="28">
        <f t="shared" si="42"/>
        <v>0</v>
      </c>
      <c r="AC364" s="28">
        <f t="shared" si="43"/>
        <v>0</v>
      </c>
      <c r="AD364" s="28">
        <f t="shared" si="44"/>
        <v>0</v>
      </c>
      <c r="AE364" s="28">
        <f t="shared" si="45"/>
        <v>0</v>
      </c>
      <c r="AF364" s="28">
        <f t="shared" si="46"/>
        <v>0</v>
      </c>
      <c r="AG364" s="28">
        <f t="shared" si="47"/>
        <v>0</v>
      </c>
      <c r="AH364" s="28">
        <f t="shared" si="48"/>
        <v>0</v>
      </c>
      <c r="AI364" s="56" t="s">
        <v>72</v>
      </c>
      <c r="AJ364" s="60">
        <f t="shared" si="49"/>
        <v>0</v>
      </c>
      <c r="AK364" s="60">
        <f t="shared" si="50"/>
        <v>0</v>
      </c>
      <c r="AL364" s="60">
        <f t="shared" si="51"/>
        <v>0</v>
      </c>
      <c r="AN364" s="28">
        <v>21</v>
      </c>
      <c r="AO364" s="28">
        <f t="shared" si="60"/>
        <v>0</v>
      </c>
      <c r="AP364" s="28">
        <f t="shared" si="61"/>
        <v>0</v>
      </c>
      <c r="AQ364" s="57" t="s">
        <v>88</v>
      </c>
      <c r="AV364" s="28">
        <f t="shared" si="52"/>
        <v>0</v>
      </c>
      <c r="AW364" s="28">
        <f t="shared" si="53"/>
        <v>0</v>
      </c>
      <c r="AX364" s="28">
        <f t="shared" si="54"/>
        <v>0</v>
      </c>
      <c r="AY364" s="59" t="s">
        <v>940</v>
      </c>
      <c r="AZ364" s="59" t="s">
        <v>961</v>
      </c>
      <c r="BA364" s="56" t="s">
        <v>966</v>
      </c>
      <c r="BC364" s="28">
        <f t="shared" si="55"/>
        <v>0</v>
      </c>
      <c r="BD364" s="28">
        <f t="shared" si="56"/>
        <v>0</v>
      </c>
      <c r="BE364" s="28">
        <v>0</v>
      </c>
      <c r="BF364" s="28">
        <f>364</f>
        <v>364</v>
      </c>
      <c r="BH364" s="60">
        <f t="shared" si="57"/>
        <v>0</v>
      </c>
      <c r="BI364" s="60">
        <f t="shared" si="58"/>
        <v>0</v>
      </c>
      <c r="BJ364" s="60">
        <f t="shared" si="59"/>
        <v>0</v>
      </c>
      <c r="BK364" s="60" t="s">
        <v>971</v>
      </c>
      <c r="BL364" s="28">
        <v>766</v>
      </c>
    </row>
    <row r="365" spans="1:64" x14ac:dyDescent="0.25">
      <c r="A365" s="34" t="s">
        <v>210</v>
      </c>
      <c r="B365" s="41" t="s">
        <v>404</v>
      </c>
      <c r="C365" s="146" t="s">
        <v>773</v>
      </c>
      <c r="D365" s="147"/>
      <c r="E365" s="147"/>
      <c r="F365" s="147"/>
      <c r="G365" s="147"/>
      <c r="H365" s="41" t="s">
        <v>897</v>
      </c>
      <c r="I365" s="76">
        <v>1</v>
      </c>
      <c r="J365" s="60">
        <v>0</v>
      </c>
      <c r="K365" s="60">
        <f t="shared" si="40"/>
        <v>0</v>
      </c>
      <c r="L365" s="53" t="s">
        <v>906</v>
      </c>
      <c r="M365" s="17"/>
      <c r="Z365" s="28">
        <f t="shared" si="41"/>
        <v>0</v>
      </c>
      <c r="AB365" s="28">
        <f t="shared" si="42"/>
        <v>0</v>
      </c>
      <c r="AC365" s="28">
        <f t="shared" si="43"/>
        <v>0</v>
      </c>
      <c r="AD365" s="28">
        <f t="shared" si="44"/>
        <v>0</v>
      </c>
      <c r="AE365" s="28">
        <f t="shared" si="45"/>
        <v>0</v>
      </c>
      <c r="AF365" s="28">
        <f t="shared" si="46"/>
        <v>0</v>
      </c>
      <c r="AG365" s="28">
        <f t="shared" si="47"/>
        <v>0</v>
      </c>
      <c r="AH365" s="28">
        <f t="shared" si="48"/>
        <v>0</v>
      </c>
      <c r="AI365" s="56" t="s">
        <v>72</v>
      </c>
      <c r="AJ365" s="60">
        <f t="shared" si="49"/>
        <v>0</v>
      </c>
      <c r="AK365" s="60">
        <f t="shared" si="50"/>
        <v>0</v>
      </c>
      <c r="AL365" s="60">
        <f t="shared" si="51"/>
        <v>0</v>
      </c>
      <c r="AN365" s="28">
        <v>21</v>
      </c>
      <c r="AO365" s="28">
        <f t="shared" si="60"/>
        <v>0</v>
      </c>
      <c r="AP365" s="28">
        <f t="shared" si="61"/>
        <v>0</v>
      </c>
      <c r="AQ365" s="57" t="s">
        <v>88</v>
      </c>
      <c r="AV365" s="28">
        <f t="shared" si="52"/>
        <v>0</v>
      </c>
      <c r="AW365" s="28">
        <f t="shared" si="53"/>
        <v>0</v>
      </c>
      <c r="AX365" s="28">
        <f t="shared" si="54"/>
        <v>0</v>
      </c>
      <c r="AY365" s="59" t="s">
        <v>940</v>
      </c>
      <c r="AZ365" s="59" t="s">
        <v>961</v>
      </c>
      <c r="BA365" s="56" t="s">
        <v>966</v>
      </c>
      <c r="BC365" s="28">
        <f t="shared" si="55"/>
        <v>0</v>
      </c>
      <c r="BD365" s="28">
        <f t="shared" si="56"/>
        <v>0</v>
      </c>
      <c r="BE365" s="28">
        <v>0</v>
      </c>
      <c r="BF365" s="28">
        <f>365</f>
        <v>365</v>
      </c>
      <c r="BH365" s="60">
        <f t="shared" si="57"/>
        <v>0</v>
      </c>
      <c r="BI365" s="60">
        <f t="shared" si="58"/>
        <v>0</v>
      </c>
      <c r="BJ365" s="60">
        <f t="shared" si="59"/>
        <v>0</v>
      </c>
      <c r="BK365" s="60" t="s">
        <v>971</v>
      </c>
      <c r="BL365" s="28">
        <v>766</v>
      </c>
    </row>
    <row r="366" spans="1:64" x14ac:dyDescent="0.25">
      <c r="A366" s="34" t="s">
        <v>211</v>
      </c>
      <c r="B366" s="41" t="s">
        <v>405</v>
      </c>
      <c r="C366" s="146" t="s">
        <v>774</v>
      </c>
      <c r="D366" s="147"/>
      <c r="E366" s="147"/>
      <c r="F366" s="147"/>
      <c r="G366" s="147"/>
      <c r="H366" s="41" t="s">
        <v>897</v>
      </c>
      <c r="I366" s="76">
        <v>2</v>
      </c>
      <c r="J366" s="60">
        <v>0</v>
      </c>
      <c r="K366" s="60">
        <f t="shared" si="40"/>
        <v>0</v>
      </c>
      <c r="L366" s="53" t="s">
        <v>906</v>
      </c>
      <c r="M366" s="17"/>
      <c r="Z366" s="28">
        <f t="shared" si="41"/>
        <v>0</v>
      </c>
      <c r="AB366" s="28">
        <f t="shared" si="42"/>
        <v>0</v>
      </c>
      <c r="AC366" s="28">
        <f t="shared" si="43"/>
        <v>0</v>
      </c>
      <c r="AD366" s="28">
        <f t="shared" si="44"/>
        <v>0</v>
      </c>
      <c r="AE366" s="28">
        <f t="shared" si="45"/>
        <v>0</v>
      </c>
      <c r="AF366" s="28">
        <f t="shared" si="46"/>
        <v>0</v>
      </c>
      <c r="AG366" s="28">
        <f t="shared" si="47"/>
        <v>0</v>
      </c>
      <c r="AH366" s="28">
        <f t="shared" si="48"/>
        <v>0</v>
      </c>
      <c r="AI366" s="56" t="s">
        <v>72</v>
      </c>
      <c r="AJ366" s="60">
        <f t="shared" si="49"/>
        <v>0</v>
      </c>
      <c r="AK366" s="60">
        <f t="shared" si="50"/>
        <v>0</v>
      </c>
      <c r="AL366" s="60">
        <f t="shared" si="51"/>
        <v>0</v>
      </c>
      <c r="AN366" s="28">
        <v>21</v>
      </c>
      <c r="AO366" s="28">
        <f t="shared" si="60"/>
        <v>0</v>
      </c>
      <c r="AP366" s="28">
        <f t="shared" si="61"/>
        <v>0</v>
      </c>
      <c r="AQ366" s="57" t="s">
        <v>88</v>
      </c>
      <c r="AV366" s="28">
        <f t="shared" si="52"/>
        <v>0</v>
      </c>
      <c r="AW366" s="28">
        <f t="shared" si="53"/>
        <v>0</v>
      </c>
      <c r="AX366" s="28">
        <f t="shared" si="54"/>
        <v>0</v>
      </c>
      <c r="AY366" s="59" t="s">
        <v>940</v>
      </c>
      <c r="AZ366" s="59" t="s">
        <v>961</v>
      </c>
      <c r="BA366" s="56" t="s">
        <v>966</v>
      </c>
      <c r="BC366" s="28">
        <f t="shared" si="55"/>
        <v>0</v>
      </c>
      <c r="BD366" s="28">
        <f t="shared" si="56"/>
        <v>0</v>
      </c>
      <c r="BE366" s="28">
        <v>0</v>
      </c>
      <c r="BF366" s="28">
        <f>366</f>
        <v>366</v>
      </c>
      <c r="BH366" s="60">
        <f t="shared" si="57"/>
        <v>0</v>
      </c>
      <c r="BI366" s="60">
        <f t="shared" si="58"/>
        <v>0</v>
      </c>
      <c r="BJ366" s="60">
        <f t="shared" si="59"/>
        <v>0</v>
      </c>
      <c r="BK366" s="60" t="s">
        <v>971</v>
      </c>
      <c r="BL366" s="28">
        <v>766</v>
      </c>
    </row>
    <row r="367" spans="1:64" x14ac:dyDescent="0.25">
      <c r="A367" s="34" t="s">
        <v>212</v>
      </c>
      <c r="B367" s="41" t="s">
        <v>406</v>
      </c>
      <c r="C367" s="146" t="s">
        <v>775</v>
      </c>
      <c r="D367" s="147"/>
      <c r="E367" s="147"/>
      <c r="F367" s="147"/>
      <c r="G367" s="147"/>
      <c r="H367" s="41" t="s">
        <v>897</v>
      </c>
      <c r="I367" s="76">
        <v>3</v>
      </c>
      <c r="J367" s="60">
        <v>0</v>
      </c>
      <c r="K367" s="60">
        <f t="shared" si="40"/>
        <v>0</v>
      </c>
      <c r="L367" s="53" t="s">
        <v>906</v>
      </c>
      <c r="M367" s="17"/>
      <c r="Z367" s="28">
        <f t="shared" si="41"/>
        <v>0</v>
      </c>
      <c r="AB367" s="28">
        <f t="shared" si="42"/>
        <v>0</v>
      </c>
      <c r="AC367" s="28">
        <f t="shared" si="43"/>
        <v>0</v>
      </c>
      <c r="AD367" s="28">
        <f t="shared" si="44"/>
        <v>0</v>
      </c>
      <c r="AE367" s="28">
        <f t="shared" si="45"/>
        <v>0</v>
      </c>
      <c r="AF367" s="28">
        <f t="shared" si="46"/>
        <v>0</v>
      </c>
      <c r="AG367" s="28">
        <f t="shared" si="47"/>
        <v>0</v>
      </c>
      <c r="AH367" s="28">
        <f t="shared" si="48"/>
        <v>0</v>
      </c>
      <c r="AI367" s="56" t="s">
        <v>72</v>
      </c>
      <c r="AJ367" s="60">
        <f t="shared" si="49"/>
        <v>0</v>
      </c>
      <c r="AK367" s="60">
        <f t="shared" si="50"/>
        <v>0</v>
      </c>
      <c r="AL367" s="60">
        <f t="shared" si="51"/>
        <v>0</v>
      </c>
      <c r="AN367" s="28">
        <v>21</v>
      </c>
      <c r="AO367" s="28">
        <f t="shared" si="60"/>
        <v>0</v>
      </c>
      <c r="AP367" s="28">
        <f t="shared" si="61"/>
        <v>0</v>
      </c>
      <c r="AQ367" s="57" t="s">
        <v>88</v>
      </c>
      <c r="AV367" s="28">
        <f t="shared" si="52"/>
        <v>0</v>
      </c>
      <c r="AW367" s="28">
        <f t="shared" si="53"/>
        <v>0</v>
      </c>
      <c r="AX367" s="28">
        <f t="shared" si="54"/>
        <v>0</v>
      </c>
      <c r="AY367" s="59" t="s">
        <v>940</v>
      </c>
      <c r="AZ367" s="59" t="s">
        <v>961</v>
      </c>
      <c r="BA367" s="56" t="s">
        <v>966</v>
      </c>
      <c r="BC367" s="28">
        <f t="shared" si="55"/>
        <v>0</v>
      </c>
      <c r="BD367" s="28">
        <f t="shared" si="56"/>
        <v>0</v>
      </c>
      <c r="BE367" s="28">
        <v>0</v>
      </c>
      <c r="BF367" s="28">
        <f>367</f>
        <v>367</v>
      </c>
      <c r="BH367" s="60">
        <f t="shared" si="57"/>
        <v>0</v>
      </c>
      <c r="BI367" s="60">
        <f t="shared" si="58"/>
        <v>0</v>
      </c>
      <c r="BJ367" s="60">
        <f t="shared" si="59"/>
        <v>0</v>
      </c>
      <c r="BK367" s="60" t="s">
        <v>971</v>
      </c>
      <c r="BL367" s="28">
        <v>766</v>
      </c>
    </row>
    <row r="368" spans="1:64" x14ac:dyDescent="0.25">
      <c r="A368" s="34" t="s">
        <v>213</v>
      </c>
      <c r="B368" s="41" t="s">
        <v>407</v>
      </c>
      <c r="C368" s="146" t="s">
        <v>776</v>
      </c>
      <c r="D368" s="147"/>
      <c r="E368" s="147"/>
      <c r="F368" s="147"/>
      <c r="G368" s="147"/>
      <c r="H368" s="41" t="s">
        <v>897</v>
      </c>
      <c r="I368" s="76">
        <v>1</v>
      </c>
      <c r="J368" s="60">
        <v>0</v>
      </c>
      <c r="K368" s="60">
        <f t="shared" si="40"/>
        <v>0</v>
      </c>
      <c r="L368" s="53" t="s">
        <v>906</v>
      </c>
      <c r="M368" s="17"/>
      <c r="Z368" s="28">
        <f t="shared" si="41"/>
        <v>0</v>
      </c>
      <c r="AB368" s="28">
        <f t="shared" si="42"/>
        <v>0</v>
      </c>
      <c r="AC368" s="28">
        <f t="shared" si="43"/>
        <v>0</v>
      </c>
      <c r="AD368" s="28">
        <f t="shared" si="44"/>
        <v>0</v>
      </c>
      <c r="AE368" s="28">
        <f t="shared" si="45"/>
        <v>0</v>
      </c>
      <c r="AF368" s="28">
        <f t="shared" si="46"/>
        <v>0</v>
      </c>
      <c r="AG368" s="28">
        <f t="shared" si="47"/>
        <v>0</v>
      </c>
      <c r="AH368" s="28">
        <f t="shared" si="48"/>
        <v>0</v>
      </c>
      <c r="AI368" s="56" t="s">
        <v>72</v>
      </c>
      <c r="AJ368" s="60">
        <f t="shared" si="49"/>
        <v>0</v>
      </c>
      <c r="AK368" s="60">
        <f t="shared" si="50"/>
        <v>0</v>
      </c>
      <c r="AL368" s="60">
        <f t="shared" si="51"/>
        <v>0</v>
      </c>
      <c r="AN368" s="28">
        <v>21</v>
      </c>
      <c r="AO368" s="28">
        <f t="shared" si="60"/>
        <v>0</v>
      </c>
      <c r="AP368" s="28">
        <f t="shared" si="61"/>
        <v>0</v>
      </c>
      <c r="AQ368" s="57" t="s">
        <v>88</v>
      </c>
      <c r="AV368" s="28">
        <f t="shared" si="52"/>
        <v>0</v>
      </c>
      <c r="AW368" s="28">
        <f t="shared" si="53"/>
        <v>0</v>
      </c>
      <c r="AX368" s="28">
        <f t="shared" si="54"/>
        <v>0</v>
      </c>
      <c r="AY368" s="59" t="s">
        <v>940</v>
      </c>
      <c r="AZ368" s="59" t="s">
        <v>961</v>
      </c>
      <c r="BA368" s="56" t="s">
        <v>966</v>
      </c>
      <c r="BC368" s="28">
        <f t="shared" si="55"/>
        <v>0</v>
      </c>
      <c r="BD368" s="28">
        <f t="shared" si="56"/>
        <v>0</v>
      </c>
      <c r="BE368" s="28">
        <v>0</v>
      </c>
      <c r="BF368" s="28">
        <f>368</f>
        <v>368</v>
      </c>
      <c r="BH368" s="60">
        <f t="shared" si="57"/>
        <v>0</v>
      </c>
      <c r="BI368" s="60">
        <f t="shared" si="58"/>
        <v>0</v>
      </c>
      <c r="BJ368" s="60">
        <f t="shared" si="59"/>
        <v>0</v>
      </c>
      <c r="BK368" s="60" t="s">
        <v>971</v>
      </c>
      <c r="BL368" s="28">
        <v>766</v>
      </c>
    </row>
    <row r="369" spans="1:64" x14ac:dyDescent="0.25">
      <c r="A369" s="34" t="s">
        <v>214</v>
      </c>
      <c r="B369" s="41" t="s">
        <v>408</v>
      </c>
      <c r="C369" s="146" t="s">
        <v>777</v>
      </c>
      <c r="D369" s="147"/>
      <c r="E369" s="147"/>
      <c r="F369" s="147"/>
      <c r="G369" s="147"/>
      <c r="H369" s="41" t="s">
        <v>897</v>
      </c>
      <c r="I369" s="76">
        <v>1</v>
      </c>
      <c r="J369" s="60">
        <v>0</v>
      </c>
      <c r="K369" s="60">
        <f t="shared" si="40"/>
        <v>0</v>
      </c>
      <c r="L369" s="53" t="s">
        <v>906</v>
      </c>
      <c r="M369" s="17"/>
      <c r="Z369" s="28">
        <f t="shared" si="41"/>
        <v>0</v>
      </c>
      <c r="AB369" s="28">
        <f t="shared" si="42"/>
        <v>0</v>
      </c>
      <c r="AC369" s="28">
        <f t="shared" si="43"/>
        <v>0</v>
      </c>
      <c r="AD369" s="28">
        <f t="shared" si="44"/>
        <v>0</v>
      </c>
      <c r="AE369" s="28">
        <f t="shared" si="45"/>
        <v>0</v>
      </c>
      <c r="AF369" s="28">
        <f t="shared" si="46"/>
        <v>0</v>
      </c>
      <c r="AG369" s="28">
        <f t="shared" si="47"/>
        <v>0</v>
      </c>
      <c r="AH369" s="28">
        <f t="shared" si="48"/>
        <v>0</v>
      </c>
      <c r="AI369" s="56" t="s">
        <v>72</v>
      </c>
      <c r="AJ369" s="60">
        <f t="shared" si="49"/>
        <v>0</v>
      </c>
      <c r="AK369" s="60">
        <f t="shared" si="50"/>
        <v>0</v>
      </c>
      <c r="AL369" s="60">
        <f t="shared" si="51"/>
        <v>0</v>
      </c>
      <c r="AN369" s="28">
        <v>21</v>
      </c>
      <c r="AO369" s="28">
        <f t="shared" si="60"/>
        <v>0</v>
      </c>
      <c r="AP369" s="28">
        <f t="shared" si="61"/>
        <v>0</v>
      </c>
      <c r="AQ369" s="57" t="s">
        <v>88</v>
      </c>
      <c r="AV369" s="28">
        <f t="shared" si="52"/>
        <v>0</v>
      </c>
      <c r="AW369" s="28">
        <f t="shared" si="53"/>
        <v>0</v>
      </c>
      <c r="AX369" s="28">
        <f t="shared" si="54"/>
        <v>0</v>
      </c>
      <c r="AY369" s="59" t="s">
        <v>940</v>
      </c>
      <c r="AZ369" s="59" t="s">
        <v>961</v>
      </c>
      <c r="BA369" s="56" t="s">
        <v>966</v>
      </c>
      <c r="BC369" s="28">
        <f t="shared" si="55"/>
        <v>0</v>
      </c>
      <c r="BD369" s="28">
        <f t="shared" si="56"/>
        <v>0</v>
      </c>
      <c r="BE369" s="28">
        <v>0</v>
      </c>
      <c r="BF369" s="28">
        <f>369</f>
        <v>369</v>
      </c>
      <c r="BH369" s="60">
        <f t="shared" si="57"/>
        <v>0</v>
      </c>
      <c r="BI369" s="60">
        <f t="shared" si="58"/>
        <v>0</v>
      </c>
      <c r="BJ369" s="60">
        <f t="shared" si="59"/>
        <v>0</v>
      </c>
      <c r="BK369" s="60" t="s">
        <v>971</v>
      </c>
      <c r="BL369" s="28">
        <v>766</v>
      </c>
    </row>
    <row r="370" spans="1:64" x14ac:dyDescent="0.25">
      <c r="A370" s="34" t="s">
        <v>215</v>
      </c>
      <c r="B370" s="41" t="s">
        <v>409</v>
      </c>
      <c r="C370" s="146" t="s">
        <v>778</v>
      </c>
      <c r="D370" s="147"/>
      <c r="E370" s="147"/>
      <c r="F370" s="147"/>
      <c r="G370" s="147"/>
      <c r="H370" s="41" t="s">
        <v>897</v>
      </c>
      <c r="I370" s="76">
        <v>1</v>
      </c>
      <c r="J370" s="60">
        <v>0</v>
      </c>
      <c r="K370" s="60">
        <f t="shared" si="40"/>
        <v>0</v>
      </c>
      <c r="L370" s="53" t="s">
        <v>906</v>
      </c>
      <c r="M370" s="17"/>
      <c r="Z370" s="28">
        <f t="shared" si="41"/>
        <v>0</v>
      </c>
      <c r="AB370" s="28">
        <f t="shared" si="42"/>
        <v>0</v>
      </c>
      <c r="AC370" s="28">
        <f t="shared" si="43"/>
        <v>0</v>
      </c>
      <c r="AD370" s="28">
        <f t="shared" si="44"/>
        <v>0</v>
      </c>
      <c r="AE370" s="28">
        <f t="shared" si="45"/>
        <v>0</v>
      </c>
      <c r="AF370" s="28">
        <f t="shared" si="46"/>
        <v>0</v>
      </c>
      <c r="AG370" s="28">
        <f t="shared" si="47"/>
        <v>0</v>
      </c>
      <c r="AH370" s="28">
        <f t="shared" si="48"/>
        <v>0</v>
      </c>
      <c r="AI370" s="56" t="s">
        <v>72</v>
      </c>
      <c r="AJ370" s="60">
        <f t="shared" si="49"/>
        <v>0</v>
      </c>
      <c r="AK370" s="60">
        <f t="shared" si="50"/>
        <v>0</v>
      </c>
      <c r="AL370" s="60">
        <f t="shared" si="51"/>
        <v>0</v>
      </c>
      <c r="AN370" s="28">
        <v>21</v>
      </c>
      <c r="AO370" s="28">
        <f t="shared" si="60"/>
        <v>0</v>
      </c>
      <c r="AP370" s="28">
        <f t="shared" si="61"/>
        <v>0</v>
      </c>
      <c r="AQ370" s="57" t="s">
        <v>88</v>
      </c>
      <c r="AV370" s="28">
        <f t="shared" si="52"/>
        <v>0</v>
      </c>
      <c r="AW370" s="28">
        <f t="shared" si="53"/>
        <v>0</v>
      </c>
      <c r="AX370" s="28">
        <f t="shared" si="54"/>
        <v>0</v>
      </c>
      <c r="AY370" s="59" t="s">
        <v>940</v>
      </c>
      <c r="AZ370" s="59" t="s">
        <v>961</v>
      </c>
      <c r="BA370" s="56" t="s">
        <v>966</v>
      </c>
      <c r="BC370" s="28">
        <f t="shared" si="55"/>
        <v>0</v>
      </c>
      <c r="BD370" s="28">
        <f t="shared" si="56"/>
        <v>0</v>
      </c>
      <c r="BE370" s="28">
        <v>0</v>
      </c>
      <c r="BF370" s="28">
        <f>370</f>
        <v>370</v>
      </c>
      <c r="BH370" s="60">
        <f t="shared" si="57"/>
        <v>0</v>
      </c>
      <c r="BI370" s="60">
        <f t="shared" si="58"/>
        <v>0</v>
      </c>
      <c r="BJ370" s="60">
        <f t="shared" si="59"/>
        <v>0</v>
      </c>
      <c r="BK370" s="60" t="s">
        <v>971</v>
      </c>
      <c r="BL370" s="28">
        <v>766</v>
      </c>
    </row>
    <row r="371" spans="1:64" x14ac:dyDescent="0.25">
      <c r="A371" s="34" t="s">
        <v>216</v>
      </c>
      <c r="B371" s="41" t="s">
        <v>410</v>
      </c>
      <c r="C371" s="146" t="s">
        <v>779</v>
      </c>
      <c r="D371" s="147"/>
      <c r="E371" s="147"/>
      <c r="F371" s="147"/>
      <c r="G371" s="147"/>
      <c r="H371" s="41" t="s">
        <v>897</v>
      </c>
      <c r="I371" s="76">
        <v>3</v>
      </c>
      <c r="J371" s="60">
        <v>0</v>
      </c>
      <c r="K371" s="60">
        <f t="shared" si="40"/>
        <v>0</v>
      </c>
      <c r="L371" s="53" t="s">
        <v>906</v>
      </c>
      <c r="M371" s="17"/>
      <c r="Z371" s="28">
        <f t="shared" si="41"/>
        <v>0</v>
      </c>
      <c r="AB371" s="28">
        <f t="shared" si="42"/>
        <v>0</v>
      </c>
      <c r="AC371" s="28">
        <f t="shared" si="43"/>
        <v>0</v>
      </c>
      <c r="AD371" s="28">
        <f t="shared" si="44"/>
        <v>0</v>
      </c>
      <c r="AE371" s="28">
        <f t="shared" si="45"/>
        <v>0</v>
      </c>
      <c r="AF371" s="28">
        <f t="shared" si="46"/>
        <v>0</v>
      </c>
      <c r="AG371" s="28">
        <f t="shared" si="47"/>
        <v>0</v>
      </c>
      <c r="AH371" s="28">
        <f t="shared" si="48"/>
        <v>0</v>
      </c>
      <c r="AI371" s="56" t="s">
        <v>72</v>
      </c>
      <c r="AJ371" s="60">
        <f t="shared" si="49"/>
        <v>0</v>
      </c>
      <c r="AK371" s="60">
        <f t="shared" si="50"/>
        <v>0</v>
      </c>
      <c r="AL371" s="60">
        <f t="shared" si="51"/>
        <v>0</v>
      </c>
      <c r="AN371" s="28">
        <v>21</v>
      </c>
      <c r="AO371" s="28">
        <f t="shared" si="60"/>
        <v>0</v>
      </c>
      <c r="AP371" s="28">
        <f t="shared" si="61"/>
        <v>0</v>
      </c>
      <c r="AQ371" s="57" t="s">
        <v>88</v>
      </c>
      <c r="AV371" s="28">
        <f t="shared" si="52"/>
        <v>0</v>
      </c>
      <c r="AW371" s="28">
        <f t="shared" si="53"/>
        <v>0</v>
      </c>
      <c r="AX371" s="28">
        <f t="shared" si="54"/>
        <v>0</v>
      </c>
      <c r="AY371" s="59" t="s">
        <v>940</v>
      </c>
      <c r="AZ371" s="59" t="s">
        <v>961</v>
      </c>
      <c r="BA371" s="56" t="s">
        <v>966</v>
      </c>
      <c r="BC371" s="28">
        <f t="shared" si="55"/>
        <v>0</v>
      </c>
      <c r="BD371" s="28">
        <f t="shared" si="56"/>
        <v>0</v>
      </c>
      <c r="BE371" s="28">
        <v>0</v>
      </c>
      <c r="BF371" s="28">
        <f>371</f>
        <v>371</v>
      </c>
      <c r="BH371" s="60">
        <f t="shared" si="57"/>
        <v>0</v>
      </c>
      <c r="BI371" s="60">
        <f t="shared" si="58"/>
        <v>0</v>
      </c>
      <c r="BJ371" s="60">
        <f t="shared" si="59"/>
        <v>0</v>
      </c>
      <c r="BK371" s="60" t="s">
        <v>971</v>
      </c>
      <c r="BL371" s="28">
        <v>766</v>
      </c>
    </row>
    <row r="372" spans="1:64" x14ac:dyDescent="0.25">
      <c r="A372" s="34" t="s">
        <v>217</v>
      </c>
      <c r="B372" s="41" t="s">
        <v>411</v>
      </c>
      <c r="C372" s="146" t="s">
        <v>780</v>
      </c>
      <c r="D372" s="147"/>
      <c r="E372" s="147"/>
      <c r="F372" s="147"/>
      <c r="G372" s="147"/>
      <c r="H372" s="41" t="s">
        <v>897</v>
      </c>
      <c r="I372" s="76">
        <v>3</v>
      </c>
      <c r="J372" s="60">
        <v>0</v>
      </c>
      <c r="K372" s="60">
        <f t="shared" si="40"/>
        <v>0</v>
      </c>
      <c r="L372" s="53" t="s">
        <v>906</v>
      </c>
      <c r="M372" s="17"/>
      <c r="Z372" s="28">
        <f t="shared" si="41"/>
        <v>0</v>
      </c>
      <c r="AB372" s="28">
        <f t="shared" si="42"/>
        <v>0</v>
      </c>
      <c r="AC372" s="28">
        <f t="shared" si="43"/>
        <v>0</v>
      </c>
      <c r="AD372" s="28">
        <f t="shared" si="44"/>
        <v>0</v>
      </c>
      <c r="AE372" s="28">
        <f t="shared" si="45"/>
        <v>0</v>
      </c>
      <c r="AF372" s="28">
        <f t="shared" si="46"/>
        <v>0</v>
      </c>
      <c r="AG372" s="28">
        <f t="shared" si="47"/>
        <v>0</v>
      </c>
      <c r="AH372" s="28">
        <f t="shared" si="48"/>
        <v>0</v>
      </c>
      <c r="AI372" s="56" t="s">
        <v>72</v>
      </c>
      <c r="AJ372" s="60">
        <f t="shared" si="49"/>
        <v>0</v>
      </c>
      <c r="AK372" s="60">
        <f t="shared" si="50"/>
        <v>0</v>
      </c>
      <c r="AL372" s="60">
        <f t="shared" si="51"/>
        <v>0</v>
      </c>
      <c r="AN372" s="28">
        <v>21</v>
      </c>
      <c r="AO372" s="28">
        <f t="shared" si="60"/>
        <v>0</v>
      </c>
      <c r="AP372" s="28">
        <f t="shared" si="61"/>
        <v>0</v>
      </c>
      <c r="AQ372" s="57" t="s">
        <v>88</v>
      </c>
      <c r="AV372" s="28">
        <f t="shared" si="52"/>
        <v>0</v>
      </c>
      <c r="AW372" s="28">
        <f t="shared" si="53"/>
        <v>0</v>
      </c>
      <c r="AX372" s="28">
        <f t="shared" si="54"/>
        <v>0</v>
      </c>
      <c r="AY372" s="59" t="s">
        <v>940</v>
      </c>
      <c r="AZ372" s="59" t="s">
        <v>961</v>
      </c>
      <c r="BA372" s="56" t="s">
        <v>966</v>
      </c>
      <c r="BC372" s="28">
        <f t="shared" si="55"/>
        <v>0</v>
      </c>
      <c r="BD372" s="28">
        <f t="shared" si="56"/>
        <v>0</v>
      </c>
      <c r="BE372" s="28">
        <v>0</v>
      </c>
      <c r="BF372" s="28">
        <f>372</f>
        <v>372</v>
      </c>
      <c r="BH372" s="60">
        <f t="shared" si="57"/>
        <v>0</v>
      </c>
      <c r="BI372" s="60">
        <f t="shared" si="58"/>
        <v>0</v>
      </c>
      <c r="BJ372" s="60">
        <f t="shared" si="59"/>
        <v>0</v>
      </c>
      <c r="BK372" s="60" t="s">
        <v>971</v>
      </c>
      <c r="BL372" s="28">
        <v>766</v>
      </c>
    </row>
    <row r="373" spans="1:64" x14ac:dyDescent="0.25">
      <c r="A373" s="34" t="s">
        <v>218</v>
      </c>
      <c r="B373" s="41" t="s">
        <v>412</v>
      </c>
      <c r="C373" s="146" t="s">
        <v>781</v>
      </c>
      <c r="D373" s="147"/>
      <c r="E373" s="147"/>
      <c r="F373" s="147"/>
      <c r="G373" s="147"/>
      <c r="H373" s="41" t="s">
        <v>897</v>
      </c>
      <c r="I373" s="76">
        <v>2</v>
      </c>
      <c r="J373" s="60">
        <v>0</v>
      </c>
      <c r="K373" s="60">
        <f t="shared" si="40"/>
        <v>0</v>
      </c>
      <c r="L373" s="53" t="s">
        <v>906</v>
      </c>
      <c r="M373" s="17"/>
      <c r="Z373" s="28">
        <f t="shared" si="41"/>
        <v>0</v>
      </c>
      <c r="AB373" s="28">
        <f t="shared" si="42"/>
        <v>0</v>
      </c>
      <c r="AC373" s="28">
        <f t="shared" si="43"/>
        <v>0</v>
      </c>
      <c r="AD373" s="28">
        <f t="shared" si="44"/>
        <v>0</v>
      </c>
      <c r="AE373" s="28">
        <f t="shared" si="45"/>
        <v>0</v>
      </c>
      <c r="AF373" s="28">
        <f t="shared" si="46"/>
        <v>0</v>
      </c>
      <c r="AG373" s="28">
        <f t="shared" si="47"/>
        <v>0</v>
      </c>
      <c r="AH373" s="28">
        <f t="shared" si="48"/>
        <v>0</v>
      </c>
      <c r="AI373" s="56" t="s">
        <v>72</v>
      </c>
      <c r="AJ373" s="60">
        <f t="shared" si="49"/>
        <v>0</v>
      </c>
      <c r="AK373" s="60">
        <f t="shared" si="50"/>
        <v>0</v>
      </c>
      <c r="AL373" s="60">
        <f t="shared" si="51"/>
        <v>0</v>
      </c>
      <c r="AN373" s="28">
        <v>21</v>
      </c>
      <c r="AO373" s="28">
        <f t="shared" si="60"/>
        <v>0</v>
      </c>
      <c r="AP373" s="28">
        <f t="shared" si="61"/>
        <v>0</v>
      </c>
      <c r="AQ373" s="57" t="s">
        <v>88</v>
      </c>
      <c r="AV373" s="28">
        <f t="shared" si="52"/>
        <v>0</v>
      </c>
      <c r="AW373" s="28">
        <f t="shared" si="53"/>
        <v>0</v>
      </c>
      <c r="AX373" s="28">
        <f t="shared" si="54"/>
        <v>0</v>
      </c>
      <c r="AY373" s="59" t="s">
        <v>940</v>
      </c>
      <c r="AZ373" s="59" t="s">
        <v>961</v>
      </c>
      <c r="BA373" s="56" t="s">
        <v>966</v>
      </c>
      <c r="BC373" s="28">
        <f t="shared" si="55"/>
        <v>0</v>
      </c>
      <c r="BD373" s="28">
        <f t="shared" si="56"/>
        <v>0</v>
      </c>
      <c r="BE373" s="28">
        <v>0</v>
      </c>
      <c r="BF373" s="28">
        <f>373</f>
        <v>373</v>
      </c>
      <c r="BH373" s="60">
        <f t="shared" si="57"/>
        <v>0</v>
      </c>
      <c r="BI373" s="60">
        <f t="shared" si="58"/>
        <v>0</v>
      </c>
      <c r="BJ373" s="60">
        <f t="shared" si="59"/>
        <v>0</v>
      </c>
      <c r="BK373" s="60" t="s">
        <v>971</v>
      </c>
      <c r="BL373" s="28">
        <v>766</v>
      </c>
    </row>
    <row r="374" spans="1:64" x14ac:dyDescent="0.25">
      <c r="A374" s="33"/>
      <c r="B374" s="40" t="s">
        <v>413</v>
      </c>
      <c r="C374" s="144" t="s">
        <v>782</v>
      </c>
      <c r="D374" s="145"/>
      <c r="E374" s="145"/>
      <c r="F374" s="145"/>
      <c r="G374" s="145"/>
      <c r="H374" s="46" t="s">
        <v>58</v>
      </c>
      <c r="I374" s="46" t="s">
        <v>58</v>
      </c>
      <c r="J374" s="46" t="s">
        <v>58</v>
      </c>
      <c r="K374" s="65">
        <f>SUM(K375:K385)</f>
        <v>0</v>
      </c>
      <c r="L374" s="52"/>
      <c r="M374" s="17"/>
      <c r="AI374" s="56" t="s">
        <v>72</v>
      </c>
      <c r="AS374" s="65">
        <f>SUM(AJ375:AJ385)</f>
        <v>0</v>
      </c>
      <c r="AT374" s="65">
        <f>SUM(AK375:AK385)</f>
        <v>0</v>
      </c>
      <c r="AU374" s="65">
        <f>SUM(AL375:AL385)</f>
        <v>0</v>
      </c>
    </row>
    <row r="375" spans="1:64" x14ac:dyDescent="0.25">
      <c r="A375" s="34" t="s">
        <v>219</v>
      </c>
      <c r="B375" s="41" t="s">
        <v>414</v>
      </c>
      <c r="C375" s="146" t="s">
        <v>783</v>
      </c>
      <c r="D375" s="147"/>
      <c r="E375" s="147"/>
      <c r="F375" s="147"/>
      <c r="G375" s="147"/>
      <c r="H375" s="41" t="s">
        <v>891</v>
      </c>
      <c r="I375" s="76">
        <v>53.9</v>
      </c>
      <c r="J375" s="60">
        <v>0</v>
      </c>
      <c r="K375" s="60">
        <f>I375*J375</f>
        <v>0</v>
      </c>
      <c r="L375" s="53" t="s">
        <v>906</v>
      </c>
      <c r="M375" s="17"/>
      <c r="Z375" s="28">
        <f>IF(AQ375="5",BJ375,0)</f>
        <v>0</v>
      </c>
      <c r="AB375" s="28">
        <f>IF(AQ375="1",BH375,0)</f>
        <v>0</v>
      </c>
      <c r="AC375" s="28">
        <f>IF(AQ375="1",BI375,0)</f>
        <v>0</v>
      </c>
      <c r="AD375" s="28">
        <f>IF(AQ375="7",BH375,0)</f>
        <v>0</v>
      </c>
      <c r="AE375" s="28">
        <f>IF(AQ375="7",BI375,0)</f>
        <v>0</v>
      </c>
      <c r="AF375" s="28">
        <f>IF(AQ375="2",BH375,0)</f>
        <v>0</v>
      </c>
      <c r="AG375" s="28">
        <f>IF(AQ375="2",BI375,0)</f>
        <v>0</v>
      </c>
      <c r="AH375" s="28">
        <f>IF(AQ375="0",BJ375,0)</f>
        <v>0</v>
      </c>
      <c r="AI375" s="56" t="s">
        <v>72</v>
      </c>
      <c r="AJ375" s="60">
        <f>IF(AN375=0,K375,0)</f>
        <v>0</v>
      </c>
      <c r="AK375" s="60">
        <f>IF(AN375=15,K375,0)</f>
        <v>0</v>
      </c>
      <c r="AL375" s="60">
        <f>IF(AN375=21,K375,0)</f>
        <v>0</v>
      </c>
      <c r="AN375" s="28">
        <v>21</v>
      </c>
      <c r="AO375" s="28">
        <f>J375*0</f>
        <v>0</v>
      </c>
      <c r="AP375" s="28">
        <f>J375*(1-0)</f>
        <v>0</v>
      </c>
      <c r="AQ375" s="57" t="s">
        <v>88</v>
      </c>
      <c r="AV375" s="28">
        <f>AW375+AX375</f>
        <v>0</v>
      </c>
      <c r="AW375" s="28">
        <f>I375*AO375</f>
        <v>0</v>
      </c>
      <c r="AX375" s="28">
        <f>I375*AP375</f>
        <v>0</v>
      </c>
      <c r="AY375" s="59" t="s">
        <v>941</v>
      </c>
      <c r="AZ375" s="59" t="s">
        <v>962</v>
      </c>
      <c r="BA375" s="56" t="s">
        <v>966</v>
      </c>
      <c r="BC375" s="28">
        <f>AW375+AX375</f>
        <v>0</v>
      </c>
      <c r="BD375" s="28">
        <f>J375/(100-BE375)*100</f>
        <v>0</v>
      </c>
      <c r="BE375" s="28">
        <v>0</v>
      </c>
      <c r="BF375" s="28">
        <f>375</f>
        <v>375</v>
      </c>
      <c r="BH375" s="60">
        <f>I375*AO375</f>
        <v>0</v>
      </c>
      <c r="BI375" s="60">
        <f>I375*AP375</f>
        <v>0</v>
      </c>
      <c r="BJ375" s="60">
        <f>I375*J375</f>
        <v>0</v>
      </c>
      <c r="BK375" s="60" t="s">
        <v>971</v>
      </c>
      <c r="BL375" s="28">
        <v>771</v>
      </c>
    </row>
    <row r="376" spans="1:64" x14ac:dyDescent="0.25">
      <c r="A376" s="17"/>
      <c r="C376" s="148" t="s">
        <v>784</v>
      </c>
      <c r="D376" s="149"/>
      <c r="E376" s="149"/>
      <c r="F376" s="149"/>
      <c r="G376" s="149"/>
      <c r="I376" s="77">
        <v>24.84</v>
      </c>
      <c r="L376" s="14"/>
      <c r="M376" s="17"/>
    </row>
    <row r="377" spans="1:64" x14ac:dyDescent="0.25">
      <c r="A377" s="17"/>
      <c r="C377" s="148" t="s">
        <v>621</v>
      </c>
      <c r="D377" s="149"/>
      <c r="E377" s="149"/>
      <c r="F377" s="149"/>
      <c r="G377" s="149"/>
      <c r="I377" s="77">
        <v>10.26</v>
      </c>
      <c r="L377" s="14"/>
      <c r="M377" s="17"/>
    </row>
    <row r="378" spans="1:64" x14ac:dyDescent="0.25">
      <c r="A378" s="17"/>
      <c r="C378" s="148" t="s">
        <v>785</v>
      </c>
      <c r="D378" s="149"/>
      <c r="E378" s="149"/>
      <c r="F378" s="149"/>
      <c r="G378" s="149"/>
      <c r="I378" s="77">
        <v>7.3</v>
      </c>
      <c r="L378" s="14"/>
      <c r="M378" s="17"/>
    </row>
    <row r="379" spans="1:64" x14ac:dyDescent="0.25">
      <c r="A379" s="17"/>
      <c r="C379" s="148" t="s">
        <v>563</v>
      </c>
      <c r="D379" s="149"/>
      <c r="E379" s="149"/>
      <c r="F379" s="149"/>
      <c r="G379" s="149"/>
      <c r="I379" s="77">
        <v>11.5</v>
      </c>
      <c r="L379" s="14"/>
      <c r="M379" s="17"/>
    </row>
    <row r="380" spans="1:64" x14ac:dyDescent="0.25">
      <c r="A380" s="34" t="s">
        <v>220</v>
      </c>
      <c r="B380" s="41" t="s">
        <v>415</v>
      </c>
      <c r="C380" s="146" t="s">
        <v>786</v>
      </c>
      <c r="D380" s="147"/>
      <c r="E380" s="147"/>
      <c r="F380" s="147"/>
      <c r="G380" s="147"/>
      <c r="H380" s="41" t="s">
        <v>891</v>
      </c>
      <c r="I380" s="76">
        <v>40.619999999999997</v>
      </c>
      <c r="J380" s="60">
        <v>0</v>
      </c>
      <c r="K380" s="60">
        <f>I380*J380</f>
        <v>0</v>
      </c>
      <c r="L380" s="53" t="s">
        <v>906</v>
      </c>
      <c r="M380" s="17"/>
      <c r="Z380" s="28">
        <f>IF(AQ380="5",BJ380,0)</f>
        <v>0</v>
      </c>
      <c r="AB380" s="28">
        <f>IF(AQ380="1",BH380,0)</f>
        <v>0</v>
      </c>
      <c r="AC380" s="28">
        <f>IF(AQ380="1",BI380,0)</f>
        <v>0</v>
      </c>
      <c r="AD380" s="28">
        <f>IF(AQ380="7",BH380,0)</f>
        <v>0</v>
      </c>
      <c r="AE380" s="28">
        <f>IF(AQ380="7",BI380,0)</f>
        <v>0</v>
      </c>
      <c r="AF380" s="28">
        <f>IF(AQ380="2",BH380,0)</f>
        <v>0</v>
      </c>
      <c r="AG380" s="28">
        <f>IF(AQ380="2",BI380,0)</f>
        <v>0</v>
      </c>
      <c r="AH380" s="28">
        <f>IF(AQ380="0",BJ380,0)</f>
        <v>0</v>
      </c>
      <c r="AI380" s="56" t="s">
        <v>72</v>
      </c>
      <c r="AJ380" s="60">
        <f>IF(AN380=0,K380,0)</f>
        <v>0</v>
      </c>
      <c r="AK380" s="60">
        <f>IF(AN380=15,K380,0)</f>
        <v>0</v>
      </c>
      <c r="AL380" s="60">
        <f>IF(AN380=21,K380,0)</f>
        <v>0</v>
      </c>
      <c r="AN380" s="28">
        <v>21</v>
      </c>
      <c r="AO380" s="28">
        <f>J380*0</f>
        <v>0</v>
      </c>
      <c r="AP380" s="28">
        <f>J380*(1-0)</f>
        <v>0</v>
      </c>
      <c r="AQ380" s="57" t="s">
        <v>88</v>
      </c>
      <c r="AV380" s="28">
        <f>AW380+AX380</f>
        <v>0</v>
      </c>
      <c r="AW380" s="28">
        <f>I380*AO380</f>
        <v>0</v>
      </c>
      <c r="AX380" s="28">
        <f>I380*AP380</f>
        <v>0</v>
      </c>
      <c r="AY380" s="59" t="s">
        <v>941</v>
      </c>
      <c r="AZ380" s="59" t="s">
        <v>962</v>
      </c>
      <c r="BA380" s="56" t="s">
        <v>966</v>
      </c>
      <c r="BC380" s="28">
        <f>AW380+AX380</f>
        <v>0</v>
      </c>
      <c r="BD380" s="28">
        <f>J380/(100-BE380)*100</f>
        <v>0</v>
      </c>
      <c r="BE380" s="28">
        <v>0</v>
      </c>
      <c r="BF380" s="28">
        <f>380</f>
        <v>380</v>
      </c>
      <c r="BH380" s="60">
        <f>I380*AO380</f>
        <v>0</v>
      </c>
      <c r="BI380" s="60">
        <f>I380*AP380</f>
        <v>0</v>
      </c>
      <c r="BJ380" s="60">
        <f>I380*J380</f>
        <v>0</v>
      </c>
      <c r="BK380" s="60" t="s">
        <v>971</v>
      </c>
      <c r="BL380" s="28">
        <v>771</v>
      </c>
    </row>
    <row r="381" spans="1:64" x14ac:dyDescent="0.25">
      <c r="A381" s="17"/>
      <c r="C381" s="148" t="s">
        <v>787</v>
      </c>
      <c r="D381" s="149"/>
      <c r="E381" s="149"/>
      <c r="F381" s="149"/>
      <c r="G381" s="149"/>
      <c r="I381" s="77">
        <v>40.619999999999997</v>
      </c>
      <c r="L381" s="14"/>
      <c r="M381" s="17"/>
    </row>
    <row r="382" spans="1:64" x14ac:dyDescent="0.25">
      <c r="A382" s="35" t="s">
        <v>221</v>
      </c>
      <c r="B382" s="43" t="s">
        <v>416</v>
      </c>
      <c r="C382" s="159" t="s">
        <v>788</v>
      </c>
      <c r="D382" s="160"/>
      <c r="E382" s="160"/>
      <c r="F382" s="160"/>
      <c r="G382" s="160"/>
      <c r="H382" s="43" t="s">
        <v>891</v>
      </c>
      <c r="I382" s="78">
        <v>41.365000000000002</v>
      </c>
      <c r="J382" s="61">
        <v>0</v>
      </c>
      <c r="K382" s="61">
        <f>I382*J382</f>
        <v>0</v>
      </c>
      <c r="L382" s="54" t="s">
        <v>906</v>
      </c>
      <c r="M382" s="17"/>
      <c r="Z382" s="28">
        <f>IF(AQ382="5",BJ382,0)</f>
        <v>0</v>
      </c>
      <c r="AB382" s="28">
        <f>IF(AQ382="1",BH382,0)</f>
        <v>0</v>
      </c>
      <c r="AC382" s="28">
        <f>IF(AQ382="1",BI382,0)</f>
        <v>0</v>
      </c>
      <c r="AD382" s="28">
        <f>IF(AQ382="7",BH382,0)</f>
        <v>0</v>
      </c>
      <c r="AE382" s="28">
        <f>IF(AQ382="7",BI382,0)</f>
        <v>0</v>
      </c>
      <c r="AF382" s="28">
        <f>IF(AQ382="2",BH382,0)</f>
        <v>0</v>
      </c>
      <c r="AG382" s="28">
        <f>IF(AQ382="2",BI382,0)</f>
        <v>0</v>
      </c>
      <c r="AH382" s="28">
        <f>IF(AQ382="0",BJ382,0)</f>
        <v>0</v>
      </c>
      <c r="AI382" s="56" t="s">
        <v>72</v>
      </c>
      <c r="AJ382" s="61">
        <f>IF(AN382=0,K382,0)</f>
        <v>0</v>
      </c>
      <c r="AK382" s="61">
        <f>IF(AN382=15,K382,0)</f>
        <v>0</v>
      </c>
      <c r="AL382" s="61">
        <f>IF(AN382=21,K382,0)</f>
        <v>0</v>
      </c>
      <c r="AN382" s="28">
        <v>21</v>
      </c>
      <c r="AO382" s="28">
        <f>J382*1</f>
        <v>0</v>
      </c>
      <c r="AP382" s="28">
        <f>J382*(1-1)</f>
        <v>0</v>
      </c>
      <c r="AQ382" s="58" t="s">
        <v>88</v>
      </c>
      <c r="AV382" s="28">
        <f>AW382+AX382</f>
        <v>0</v>
      </c>
      <c r="AW382" s="28">
        <f>I382*AO382</f>
        <v>0</v>
      </c>
      <c r="AX382" s="28">
        <f>I382*AP382</f>
        <v>0</v>
      </c>
      <c r="AY382" s="59" t="s">
        <v>941</v>
      </c>
      <c r="AZ382" s="59" t="s">
        <v>962</v>
      </c>
      <c r="BA382" s="56" t="s">
        <v>966</v>
      </c>
      <c r="BC382" s="28">
        <f>AW382+AX382</f>
        <v>0</v>
      </c>
      <c r="BD382" s="28">
        <f>J382/(100-BE382)*100</f>
        <v>0</v>
      </c>
      <c r="BE382" s="28">
        <v>0</v>
      </c>
      <c r="BF382" s="28">
        <f>382</f>
        <v>382</v>
      </c>
      <c r="BH382" s="61">
        <f>I382*AO382</f>
        <v>0</v>
      </c>
      <c r="BI382" s="61">
        <f>I382*AP382</f>
        <v>0</v>
      </c>
      <c r="BJ382" s="61">
        <f>I382*J382</f>
        <v>0</v>
      </c>
      <c r="BK382" s="61" t="s">
        <v>972</v>
      </c>
      <c r="BL382" s="28">
        <v>771</v>
      </c>
    </row>
    <row r="383" spans="1:64" x14ac:dyDescent="0.25">
      <c r="A383" s="17"/>
      <c r="C383" s="148" t="s">
        <v>789</v>
      </c>
      <c r="D383" s="149"/>
      <c r="E383" s="149"/>
      <c r="F383" s="149"/>
      <c r="G383" s="149"/>
      <c r="I383" s="77">
        <v>40.159999999999997</v>
      </c>
      <c r="L383" s="14"/>
      <c r="M383" s="17"/>
    </row>
    <row r="384" spans="1:64" x14ac:dyDescent="0.25">
      <c r="A384" s="17"/>
      <c r="C384" s="148" t="s">
        <v>790</v>
      </c>
      <c r="D384" s="149"/>
      <c r="E384" s="149"/>
      <c r="F384" s="149"/>
      <c r="G384" s="149"/>
      <c r="I384" s="77">
        <v>1.2050000000000001</v>
      </c>
      <c r="L384" s="14"/>
      <c r="M384" s="17"/>
    </row>
    <row r="385" spans="1:64" x14ac:dyDescent="0.25">
      <c r="A385" s="35" t="s">
        <v>222</v>
      </c>
      <c r="B385" s="43" t="s">
        <v>417</v>
      </c>
      <c r="C385" s="159" t="s">
        <v>791</v>
      </c>
      <c r="D385" s="160"/>
      <c r="E385" s="160"/>
      <c r="F385" s="160"/>
      <c r="G385" s="160"/>
      <c r="H385" s="43" t="s">
        <v>891</v>
      </c>
      <c r="I385" s="78">
        <v>55.517000000000003</v>
      </c>
      <c r="J385" s="61">
        <v>0</v>
      </c>
      <c r="K385" s="61">
        <f>I385*J385</f>
        <v>0</v>
      </c>
      <c r="L385" s="54" t="s">
        <v>906</v>
      </c>
      <c r="M385" s="17"/>
      <c r="Z385" s="28">
        <f>IF(AQ385="5",BJ385,0)</f>
        <v>0</v>
      </c>
      <c r="AB385" s="28">
        <f>IF(AQ385="1",BH385,0)</f>
        <v>0</v>
      </c>
      <c r="AC385" s="28">
        <f>IF(AQ385="1",BI385,0)</f>
        <v>0</v>
      </c>
      <c r="AD385" s="28">
        <f>IF(AQ385="7",BH385,0)</f>
        <v>0</v>
      </c>
      <c r="AE385" s="28">
        <f>IF(AQ385="7",BI385,0)</f>
        <v>0</v>
      </c>
      <c r="AF385" s="28">
        <f>IF(AQ385="2",BH385,0)</f>
        <v>0</v>
      </c>
      <c r="AG385" s="28">
        <f>IF(AQ385="2",BI385,0)</f>
        <v>0</v>
      </c>
      <c r="AH385" s="28">
        <f>IF(AQ385="0",BJ385,0)</f>
        <v>0</v>
      </c>
      <c r="AI385" s="56" t="s">
        <v>72</v>
      </c>
      <c r="AJ385" s="61">
        <f>IF(AN385=0,K385,0)</f>
        <v>0</v>
      </c>
      <c r="AK385" s="61">
        <f>IF(AN385=15,K385,0)</f>
        <v>0</v>
      </c>
      <c r="AL385" s="61">
        <f>IF(AN385=21,K385,0)</f>
        <v>0</v>
      </c>
      <c r="AN385" s="28">
        <v>21</v>
      </c>
      <c r="AO385" s="28">
        <f>J385*1</f>
        <v>0</v>
      </c>
      <c r="AP385" s="28">
        <f>J385*(1-1)</f>
        <v>0</v>
      </c>
      <c r="AQ385" s="58" t="s">
        <v>88</v>
      </c>
      <c r="AV385" s="28">
        <f>AW385+AX385</f>
        <v>0</v>
      </c>
      <c r="AW385" s="28">
        <f>I385*AO385</f>
        <v>0</v>
      </c>
      <c r="AX385" s="28">
        <f>I385*AP385</f>
        <v>0</v>
      </c>
      <c r="AY385" s="59" t="s">
        <v>941</v>
      </c>
      <c r="AZ385" s="59" t="s">
        <v>962</v>
      </c>
      <c r="BA385" s="56" t="s">
        <v>966</v>
      </c>
      <c r="BC385" s="28">
        <f>AW385+AX385</f>
        <v>0</v>
      </c>
      <c r="BD385" s="28">
        <f>J385/(100-BE385)*100</f>
        <v>0</v>
      </c>
      <c r="BE385" s="28">
        <v>0</v>
      </c>
      <c r="BF385" s="28">
        <f>385</f>
        <v>385</v>
      </c>
      <c r="BH385" s="61">
        <f>I385*AO385</f>
        <v>0</v>
      </c>
      <c r="BI385" s="61">
        <f>I385*AP385</f>
        <v>0</v>
      </c>
      <c r="BJ385" s="61">
        <f>I385*J385</f>
        <v>0</v>
      </c>
      <c r="BK385" s="61" t="s">
        <v>972</v>
      </c>
      <c r="BL385" s="28">
        <v>771</v>
      </c>
    </row>
    <row r="386" spans="1:64" x14ac:dyDescent="0.25">
      <c r="A386" s="17"/>
      <c r="C386" s="148" t="s">
        <v>792</v>
      </c>
      <c r="D386" s="149"/>
      <c r="E386" s="149"/>
      <c r="F386" s="149"/>
      <c r="G386" s="149"/>
      <c r="I386" s="77">
        <v>53.9</v>
      </c>
      <c r="L386" s="14"/>
      <c r="M386" s="17"/>
    </row>
    <row r="387" spans="1:64" x14ac:dyDescent="0.25">
      <c r="A387" s="17"/>
      <c r="C387" s="148" t="s">
        <v>793</v>
      </c>
      <c r="D387" s="149"/>
      <c r="E387" s="149"/>
      <c r="F387" s="149"/>
      <c r="G387" s="149"/>
      <c r="I387" s="77">
        <v>1.617</v>
      </c>
      <c r="L387" s="14"/>
      <c r="M387" s="17"/>
    </row>
    <row r="388" spans="1:64" x14ac:dyDescent="0.25">
      <c r="A388" s="33"/>
      <c r="B388" s="40" t="s">
        <v>418</v>
      </c>
      <c r="C388" s="144" t="s">
        <v>794</v>
      </c>
      <c r="D388" s="145"/>
      <c r="E388" s="145"/>
      <c r="F388" s="145"/>
      <c r="G388" s="145"/>
      <c r="H388" s="46" t="s">
        <v>58</v>
      </c>
      <c r="I388" s="46" t="s">
        <v>58</v>
      </c>
      <c r="J388" s="46" t="s">
        <v>58</v>
      </c>
      <c r="K388" s="65">
        <f>SUM(K389:K395)</f>
        <v>0</v>
      </c>
      <c r="L388" s="52"/>
      <c r="M388" s="17"/>
      <c r="AI388" s="56" t="s">
        <v>72</v>
      </c>
      <c r="AS388" s="65">
        <f>SUM(AJ389:AJ395)</f>
        <v>0</v>
      </c>
      <c r="AT388" s="65">
        <f>SUM(AK389:AK395)</f>
        <v>0</v>
      </c>
      <c r="AU388" s="65">
        <f>SUM(AL389:AL395)</f>
        <v>0</v>
      </c>
    </row>
    <row r="389" spans="1:64" x14ac:dyDescent="0.25">
      <c r="A389" s="34" t="s">
        <v>223</v>
      </c>
      <c r="B389" s="41" t="s">
        <v>419</v>
      </c>
      <c r="C389" s="146" t="s">
        <v>795</v>
      </c>
      <c r="D389" s="147"/>
      <c r="E389" s="147"/>
      <c r="F389" s="147"/>
      <c r="G389" s="147"/>
      <c r="H389" s="41" t="s">
        <v>891</v>
      </c>
      <c r="I389" s="76">
        <v>181.93</v>
      </c>
      <c r="J389" s="60">
        <v>0</v>
      </c>
      <c r="K389" s="60">
        <f>I389*J389</f>
        <v>0</v>
      </c>
      <c r="L389" s="53" t="s">
        <v>906</v>
      </c>
      <c r="M389" s="17"/>
      <c r="Z389" s="28">
        <f>IF(AQ389="5",BJ389,0)</f>
        <v>0</v>
      </c>
      <c r="AB389" s="28">
        <f>IF(AQ389="1",BH389,0)</f>
        <v>0</v>
      </c>
      <c r="AC389" s="28">
        <f>IF(AQ389="1",BI389,0)</f>
        <v>0</v>
      </c>
      <c r="AD389" s="28">
        <f>IF(AQ389="7",BH389,0)</f>
        <v>0</v>
      </c>
      <c r="AE389" s="28">
        <f>IF(AQ389="7",BI389,0)</f>
        <v>0</v>
      </c>
      <c r="AF389" s="28">
        <f>IF(AQ389="2",BH389,0)</f>
        <v>0</v>
      </c>
      <c r="AG389" s="28">
        <f>IF(AQ389="2",BI389,0)</f>
        <v>0</v>
      </c>
      <c r="AH389" s="28">
        <f>IF(AQ389="0",BJ389,0)</f>
        <v>0</v>
      </c>
      <c r="AI389" s="56" t="s">
        <v>72</v>
      </c>
      <c r="AJ389" s="60">
        <f>IF(AN389=0,K389,0)</f>
        <v>0</v>
      </c>
      <c r="AK389" s="60">
        <f>IF(AN389=15,K389,0)</f>
        <v>0</v>
      </c>
      <c r="AL389" s="60">
        <f>IF(AN389=21,K389,0)</f>
        <v>0</v>
      </c>
      <c r="AN389" s="28">
        <v>21</v>
      </c>
      <c r="AO389" s="28">
        <f>J389*0.36804707674366</f>
        <v>0</v>
      </c>
      <c r="AP389" s="28">
        <f>J389*(1-0.36804707674366)</f>
        <v>0</v>
      </c>
      <c r="AQ389" s="57" t="s">
        <v>88</v>
      </c>
      <c r="AV389" s="28">
        <f>AW389+AX389</f>
        <v>0</v>
      </c>
      <c r="AW389" s="28">
        <f>I389*AO389</f>
        <v>0</v>
      </c>
      <c r="AX389" s="28">
        <f>I389*AP389</f>
        <v>0</v>
      </c>
      <c r="AY389" s="59" t="s">
        <v>942</v>
      </c>
      <c r="AZ389" s="59" t="s">
        <v>962</v>
      </c>
      <c r="BA389" s="56" t="s">
        <v>966</v>
      </c>
      <c r="BC389" s="28">
        <f>AW389+AX389</f>
        <v>0</v>
      </c>
      <c r="BD389" s="28">
        <f>J389/(100-BE389)*100</f>
        <v>0</v>
      </c>
      <c r="BE389" s="28">
        <v>0</v>
      </c>
      <c r="BF389" s="28">
        <f>389</f>
        <v>389</v>
      </c>
      <c r="BH389" s="60">
        <f>I389*AO389</f>
        <v>0</v>
      </c>
      <c r="BI389" s="60">
        <f>I389*AP389</f>
        <v>0</v>
      </c>
      <c r="BJ389" s="60">
        <f>I389*J389</f>
        <v>0</v>
      </c>
      <c r="BK389" s="60" t="s">
        <v>971</v>
      </c>
      <c r="BL389" s="28">
        <v>775</v>
      </c>
    </row>
    <row r="390" spans="1:64" x14ac:dyDescent="0.25">
      <c r="A390" s="17"/>
      <c r="C390" s="148" t="s">
        <v>796</v>
      </c>
      <c r="D390" s="149"/>
      <c r="E390" s="149"/>
      <c r="F390" s="149"/>
      <c r="G390" s="149"/>
      <c r="I390" s="77">
        <v>80.680000000000007</v>
      </c>
      <c r="L390" s="14"/>
      <c r="M390" s="17"/>
    </row>
    <row r="391" spans="1:64" x14ac:dyDescent="0.25">
      <c r="A391" s="17"/>
      <c r="C391" s="148" t="s">
        <v>797</v>
      </c>
      <c r="D391" s="149"/>
      <c r="E391" s="149"/>
      <c r="F391" s="149"/>
      <c r="G391" s="149"/>
      <c r="I391" s="77">
        <v>101.25</v>
      </c>
      <c r="L391" s="14"/>
      <c r="M391" s="17"/>
    </row>
    <row r="392" spans="1:64" x14ac:dyDescent="0.25">
      <c r="A392" s="34" t="s">
        <v>224</v>
      </c>
      <c r="B392" s="41" t="s">
        <v>420</v>
      </c>
      <c r="C392" s="146" t="s">
        <v>798</v>
      </c>
      <c r="D392" s="147"/>
      <c r="E392" s="147"/>
      <c r="F392" s="147"/>
      <c r="G392" s="147"/>
      <c r="H392" s="41" t="s">
        <v>891</v>
      </c>
      <c r="I392" s="76">
        <v>181.93</v>
      </c>
      <c r="J392" s="60">
        <v>0</v>
      </c>
      <c r="K392" s="60">
        <f>I392*J392</f>
        <v>0</v>
      </c>
      <c r="L392" s="53" t="s">
        <v>906</v>
      </c>
      <c r="M392" s="17"/>
      <c r="Z392" s="28">
        <f>IF(AQ392="5",BJ392,0)</f>
        <v>0</v>
      </c>
      <c r="AB392" s="28">
        <f>IF(AQ392="1",BH392,0)</f>
        <v>0</v>
      </c>
      <c r="AC392" s="28">
        <f>IF(AQ392="1",BI392,0)</f>
        <v>0</v>
      </c>
      <c r="AD392" s="28">
        <f>IF(AQ392="7",BH392,0)</f>
        <v>0</v>
      </c>
      <c r="AE392" s="28">
        <f>IF(AQ392="7",BI392,0)</f>
        <v>0</v>
      </c>
      <c r="AF392" s="28">
        <f>IF(AQ392="2",BH392,0)</f>
        <v>0</v>
      </c>
      <c r="AG392" s="28">
        <f>IF(AQ392="2",BI392,0)</f>
        <v>0</v>
      </c>
      <c r="AH392" s="28">
        <f>IF(AQ392="0",BJ392,0)</f>
        <v>0</v>
      </c>
      <c r="AI392" s="56" t="s">
        <v>72</v>
      </c>
      <c r="AJ392" s="60">
        <f>IF(AN392=0,K392,0)</f>
        <v>0</v>
      </c>
      <c r="AK392" s="60">
        <f>IF(AN392=15,K392,0)</f>
        <v>0</v>
      </c>
      <c r="AL392" s="60">
        <f>IF(AN392=21,K392,0)</f>
        <v>0</v>
      </c>
      <c r="AN392" s="28">
        <v>21</v>
      </c>
      <c r="AO392" s="28">
        <f>J392*0</f>
        <v>0</v>
      </c>
      <c r="AP392" s="28">
        <f>J392*(1-0)</f>
        <v>0</v>
      </c>
      <c r="AQ392" s="57" t="s">
        <v>88</v>
      </c>
      <c r="AV392" s="28">
        <f>AW392+AX392</f>
        <v>0</v>
      </c>
      <c r="AW392" s="28">
        <f>I392*AO392</f>
        <v>0</v>
      </c>
      <c r="AX392" s="28">
        <f>I392*AP392</f>
        <v>0</v>
      </c>
      <c r="AY392" s="59" t="s">
        <v>942</v>
      </c>
      <c r="AZ392" s="59" t="s">
        <v>962</v>
      </c>
      <c r="BA392" s="56" t="s">
        <v>966</v>
      </c>
      <c r="BC392" s="28">
        <f>AW392+AX392</f>
        <v>0</v>
      </c>
      <c r="BD392" s="28">
        <f>J392/(100-BE392)*100</f>
        <v>0</v>
      </c>
      <c r="BE392" s="28">
        <v>0</v>
      </c>
      <c r="BF392" s="28">
        <f>392</f>
        <v>392</v>
      </c>
      <c r="BH392" s="60">
        <f>I392*AO392</f>
        <v>0</v>
      </c>
      <c r="BI392" s="60">
        <f>I392*AP392</f>
        <v>0</v>
      </c>
      <c r="BJ392" s="60">
        <f>I392*J392</f>
        <v>0</v>
      </c>
      <c r="BK392" s="60" t="s">
        <v>971</v>
      </c>
      <c r="BL392" s="28">
        <v>775</v>
      </c>
    </row>
    <row r="393" spans="1:64" x14ac:dyDescent="0.25">
      <c r="A393" s="17"/>
      <c r="C393" s="148" t="s">
        <v>796</v>
      </c>
      <c r="D393" s="149"/>
      <c r="E393" s="149"/>
      <c r="F393" s="149"/>
      <c r="G393" s="149"/>
      <c r="I393" s="77">
        <v>80.680000000000007</v>
      </c>
      <c r="L393" s="14"/>
      <c r="M393" s="17"/>
    </row>
    <row r="394" spans="1:64" x14ac:dyDescent="0.25">
      <c r="A394" s="17"/>
      <c r="C394" s="148" t="s">
        <v>797</v>
      </c>
      <c r="D394" s="149"/>
      <c r="E394" s="149"/>
      <c r="F394" s="149"/>
      <c r="G394" s="149"/>
      <c r="I394" s="77">
        <v>101.25</v>
      </c>
      <c r="L394" s="14"/>
      <c r="M394" s="17"/>
    </row>
    <row r="395" spans="1:64" x14ac:dyDescent="0.25">
      <c r="A395" s="35" t="s">
        <v>225</v>
      </c>
      <c r="B395" s="43" t="s">
        <v>421</v>
      </c>
      <c r="C395" s="159" t="s">
        <v>799</v>
      </c>
      <c r="D395" s="160"/>
      <c r="E395" s="160"/>
      <c r="F395" s="160"/>
      <c r="G395" s="160"/>
      <c r="H395" s="43" t="s">
        <v>891</v>
      </c>
      <c r="I395" s="78">
        <v>187.38800000000001</v>
      </c>
      <c r="J395" s="61">
        <v>0</v>
      </c>
      <c r="K395" s="61">
        <f>I395*J395</f>
        <v>0</v>
      </c>
      <c r="L395" s="54" t="s">
        <v>906</v>
      </c>
      <c r="M395" s="17"/>
      <c r="Z395" s="28">
        <f>IF(AQ395="5",BJ395,0)</f>
        <v>0</v>
      </c>
      <c r="AB395" s="28">
        <f>IF(AQ395="1",BH395,0)</f>
        <v>0</v>
      </c>
      <c r="AC395" s="28">
        <f>IF(AQ395="1",BI395,0)</f>
        <v>0</v>
      </c>
      <c r="AD395" s="28">
        <f>IF(AQ395="7",BH395,0)</f>
        <v>0</v>
      </c>
      <c r="AE395" s="28">
        <f>IF(AQ395="7",BI395,0)</f>
        <v>0</v>
      </c>
      <c r="AF395" s="28">
        <f>IF(AQ395="2",BH395,0)</f>
        <v>0</v>
      </c>
      <c r="AG395" s="28">
        <f>IF(AQ395="2",BI395,0)</f>
        <v>0</v>
      </c>
      <c r="AH395" s="28">
        <f>IF(AQ395="0",BJ395,0)</f>
        <v>0</v>
      </c>
      <c r="AI395" s="56" t="s">
        <v>72</v>
      </c>
      <c r="AJ395" s="61">
        <f>IF(AN395=0,K395,0)</f>
        <v>0</v>
      </c>
      <c r="AK395" s="61">
        <f>IF(AN395=15,K395,0)</f>
        <v>0</v>
      </c>
      <c r="AL395" s="61">
        <f>IF(AN395=21,K395,0)</f>
        <v>0</v>
      </c>
      <c r="AN395" s="28">
        <v>21</v>
      </c>
      <c r="AO395" s="28">
        <f>J395*1</f>
        <v>0</v>
      </c>
      <c r="AP395" s="28">
        <f>J395*(1-1)</f>
        <v>0</v>
      </c>
      <c r="AQ395" s="58" t="s">
        <v>88</v>
      </c>
      <c r="AV395" s="28">
        <f>AW395+AX395</f>
        <v>0</v>
      </c>
      <c r="AW395" s="28">
        <f>I395*AO395</f>
        <v>0</v>
      </c>
      <c r="AX395" s="28">
        <f>I395*AP395</f>
        <v>0</v>
      </c>
      <c r="AY395" s="59" t="s">
        <v>942</v>
      </c>
      <c r="AZ395" s="59" t="s">
        <v>962</v>
      </c>
      <c r="BA395" s="56" t="s">
        <v>966</v>
      </c>
      <c r="BC395" s="28">
        <f>AW395+AX395</f>
        <v>0</v>
      </c>
      <c r="BD395" s="28">
        <f>J395/(100-BE395)*100</f>
        <v>0</v>
      </c>
      <c r="BE395" s="28">
        <v>0</v>
      </c>
      <c r="BF395" s="28">
        <f>395</f>
        <v>395</v>
      </c>
      <c r="BH395" s="61">
        <f>I395*AO395</f>
        <v>0</v>
      </c>
      <c r="BI395" s="61">
        <f>I395*AP395</f>
        <v>0</v>
      </c>
      <c r="BJ395" s="61">
        <f>I395*J395</f>
        <v>0</v>
      </c>
      <c r="BK395" s="61" t="s">
        <v>972</v>
      </c>
      <c r="BL395" s="28">
        <v>775</v>
      </c>
    </row>
    <row r="396" spans="1:64" x14ac:dyDescent="0.25">
      <c r="A396" s="17"/>
      <c r="C396" s="148" t="s">
        <v>800</v>
      </c>
      <c r="D396" s="149"/>
      <c r="E396" s="149"/>
      <c r="F396" s="149"/>
      <c r="G396" s="149"/>
      <c r="I396" s="77">
        <v>181.93</v>
      </c>
      <c r="L396" s="14"/>
      <c r="M396" s="17"/>
    </row>
    <row r="397" spans="1:64" x14ac:dyDescent="0.25">
      <c r="A397" s="17"/>
      <c r="C397" s="148" t="s">
        <v>801</v>
      </c>
      <c r="D397" s="149"/>
      <c r="E397" s="149"/>
      <c r="F397" s="149"/>
      <c r="G397" s="149"/>
      <c r="I397" s="77">
        <v>5.4580000000000002</v>
      </c>
      <c r="L397" s="14"/>
      <c r="M397" s="17"/>
    </row>
    <row r="398" spans="1:64" x14ac:dyDescent="0.25">
      <c r="A398" s="33"/>
      <c r="B398" s="40" t="s">
        <v>422</v>
      </c>
      <c r="C398" s="144" t="s">
        <v>802</v>
      </c>
      <c r="D398" s="145"/>
      <c r="E398" s="145"/>
      <c r="F398" s="145"/>
      <c r="G398" s="145"/>
      <c r="H398" s="46" t="s">
        <v>58</v>
      </c>
      <c r="I398" s="46" t="s">
        <v>58</v>
      </c>
      <c r="J398" s="46" t="s">
        <v>58</v>
      </c>
      <c r="K398" s="65">
        <f>SUM(K399:K409)</f>
        <v>0</v>
      </c>
      <c r="L398" s="52"/>
      <c r="M398" s="17"/>
      <c r="AI398" s="56" t="s">
        <v>72</v>
      </c>
      <c r="AS398" s="65">
        <f>SUM(AJ399:AJ409)</f>
        <v>0</v>
      </c>
      <c r="AT398" s="65">
        <f>SUM(AK399:AK409)</f>
        <v>0</v>
      </c>
      <c r="AU398" s="65">
        <f>SUM(AL399:AL409)</f>
        <v>0</v>
      </c>
    </row>
    <row r="399" spans="1:64" x14ac:dyDescent="0.25">
      <c r="A399" s="34" t="s">
        <v>226</v>
      </c>
      <c r="B399" s="41" t="s">
        <v>423</v>
      </c>
      <c r="C399" s="146" t="s">
        <v>803</v>
      </c>
      <c r="D399" s="147"/>
      <c r="E399" s="147"/>
      <c r="F399" s="147"/>
      <c r="G399" s="147"/>
      <c r="H399" s="41" t="s">
        <v>891</v>
      </c>
      <c r="I399" s="76">
        <v>25.52</v>
      </c>
      <c r="J399" s="60">
        <v>0</v>
      </c>
      <c r="K399" s="60">
        <f>I399*J399</f>
        <v>0</v>
      </c>
      <c r="L399" s="53" t="s">
        <v>906</v>
      </c>
      <c r="M399" s="17"/>
      <c r="Z399" s="28">
        <f>IF(AQ399="5",BJ399,0)</f>
        <v>0</v>
      </c>
      <c r="AB399" s="28">
        <f>IF(AQ399="1",BH399,0)</f>
        <v>0</v>
      </c>
      <c r="AC399" s="28">
        <f>IF(AQ399="1",BI399,0)</f>
        <v>0</v>
      </c>
      <c r="AD399" s="28">
        <f>IF(AQ399="7",BH399,0)</f>
        <v>0</v>
      </c>
      <c r="AE399" s="28">
        <f>IF(AQ399="7",BI399,0)</f>
        <v>0</v>
      </c>
      <c r="AF399" s="28">
        <f>IF(AQ399="2",BH399,0)</f>
        <v>0</v>
      </c>
      <c r="AG399" s="28">
        <f>IF(AQ399="2",BI399,0)</f>
        <v>0</v>
      </c>
      <c r="AH399" s="28">
        <f>IF(AQ399="0",BJ399,0)</f>
        <v>0</v>
      </c>
      <c r="AI399" s="56" t="s">
        <v>72</v>
      </c>
      <c r="AJ399" s="60">
        <f>IF(AN399=0,K399,0)</f>
        <v>0</v>
      </c>
      <c r="AK399" s="60">
        <f>IF(AN399=15,K399,0)</f>
        <v>0</v>
      </c>
      <c r="AL399" s="60">
        <f>IF(AN399=21,K399,0)</f>
        <v>0</v>
      </c>
      <c r="AN399" s="28">
        <v>21</v>
      </c>
      <c r="AO399" s="28">
        <f>J399*0</f>
        <v>0</v>
      </c>
      <c r="AP399" s="28">
        <f>J399*(1-0)</f>
        <v>0</v>
      </c>
      <c r="AQ399" s="57" t="s">
        <v>88</v>
      </c>
      <c r="AV399" s="28">
        <f>AW399+AX399</f>
        <v>0</v>
      </c>
      <c r="AW399" s="28">
        <f>I399*AO399</f>
        <v>0</v>
      </c>
      <c r="AX399" s="28">
        <f>I399*AP399</f>
        <v>0</v>
      </c>
      <c r="AY399" s="59" t="s">
        <v>943</v>
      </c>
      <c r="AZ399" s="59" t="s">
        <v>963</v>
      </c>
      <c r="BA399" s="56" t="s">
        <v>966</v>
      </c>
      <c r="BC399" s="28">
        <f>AW399+AX399</f>
        <v>0</v>
      </c>
      <c r="BD399" s="28">
        <f>J399/(100-BE399)*100</f>
        <v>0</v>
      </c>
      <c r="BE399" s="28">
        <v>0</v>
      </c>
      <c r="BF399" s="28">
        <f>399</f>
        <v>399</v>
      </c>
      <c r="BH399" s="60">
        <f>I399*AO399</f>
        <v>0</v>
      </c>
      <c r="BI399" s="60">
        <f>I399*AP399</f>
        <v>0</v>
      </c>
      <c r="BJ399" s="60">
        <f>I399*J399</f>
        <v>0</v>
      </c>
      <c r="BK399" s="60" t="s">
        <v>971</v>
      </c>
      <c r="BL399" s="28">
        <v>781</v>
      </c>
    </row>
    <row r="400" spans="1:64" x14ac:dyDescent="0.25">
      <c r="A400" s="17"/>
      <c r="C400" s="148" t="s">
        <v>804</v>
      </c>
      <c r="D400" s="149"/>
      <c r="E400" s="149"/>
      <c r="F400" s="149"/>
      <c r="G400" s="149"/>
      <c r="I400" s="77">
        <v>6.42</v>
      </c>
      <c r="L400" s="14"/>
      <c r="M400" s="17"/>
    </row>
    <row r="401" spans="1:64" x14ac:dyDescent="0.25">
      <c r="A401" s="17"/>
      <c r="C401" s="148" t="s">
        <v>805</v>
      </c>
      <c r="D401" s="149"/>
      <c r="E401" s="149"/>
      <c r="F401" s="149"/>
      <c r="G401" s="149"/>
      <c r="I401" s="77">
        <v>9.1</v>
      </c>
      <c r="L401" s="14"/>
      <c r="M401" s="17"/>
    </row>
    <row r="402" spans="1:64" x14ac:dyDescent="0.25">
      <c r="A402" s="17"/>
      <c r="C402" s="148" t="s">
        <v>806</v>
      </c>
      <c r="D402" s="149"/>
      <c r="E402" s="149"/>
      <c r="F402" s="149"/>
      <c r="G402" s="149"/>
      <c r="I402" s="77">
        <v>10</v>
      </c>
      <c r="L402" s="14"/>
      <c r="M402" s="17"/>
    </row>
    <row r="403" spans="1:64" x14ac:dyDescent="0.25">
      <c r="A403" s="35" t="s">
        <v>227</v>
      </c>
      <c r="B403" s="43" t="s">
        <v>424</v>
      </c>
      <c r="C403" s="159" t="s">
        <v>807</v>
      </c>
      <c r="D403" s="160"/>
      <c r="E403" s="160"/>
      <c r="F403" s="160"/>
      <c r="G403" s="160"/>
      <c r="H403" s="43" t="s">
        <v>891</v>
      </c>
      <c r="I403" s="78">
        <v>26.286000000000001</v>
      </c>
      <c r="J403" s="61">
        <v>0</v>
      </c>
      <c r="K403" s="61">
        <f>I403*J403</f>
        <v>0</v>
      </c>
      <c r="L403" s="54" t="s">
        <v>906</v>
      </c>
      <c r="M403" s="17"/>
      <c r="Z403" s="28">
        <f>IF(AQ403="5",BJ403,0)</f>
        <v>0</v>
      </c>
      <c r="AB403" s="28">
        <f>IF(AQ403="1",BH403,0)</f>
        <v>0</v>
      </c>
      <c r="AC403" s="28">
        <f>IF(AQ403="1",BI403,0)</f>
        <v>0</v>
      </c>
      <c r="AD403" s="28">
        <f>IF(AQ403="7",BH403,0)</f>
        <v>0</v>
      </c>
      <c r="AE403" s="28">
        <f>IF(AQ403="7",BI403,0)</f>
        <v>0</v>
      </c>
      <c r="AF403" s="28">
        <f>IF(AQ403="2",BH403,0)</f>
        <v>0</v>
      </c>
      <c r="AG403" s="28">
        <f>IF(AQ403="2",BI403,0)</f>
        <v>0</v>
      </c>
      <c r="AH403" s="28">
        <f>IF(AQ403="0",BJ403,0)</f>
        <v>0</v>
      </c>
      <c r="AI403" s="56" t="s">
        <v>72</v>
      </c>
      <c r="AJ403" s="61">
        <f>IF(AN403=0,K403,0)</f>
        <v>0</v>
      </c>
      <c r="AK403" s="61">
        <f>IF(AN403=15,K403,0)</f>
        <v>0</v>
      </c>
      <c r="AL403" s="61">
        <f>IF(AN403=21,K403,0)</f>
        <v>0</v>
      </c>
      <c r="AN403" s="28">
        <v>21</v>
      </c>
      <c r="AO403" s="28">
        <f>J403*1</f>
        <v>0</v>
      </c>
      <c r="AP403" s="28">
        <f>J403*(1-1)</f>
        <v>0</v>
      </c>
      <c r="AQ403" s="58" t="s">
        <v>88</v>
      </c>
      <c r="AV403" s="28">
        <f>AW403+AX403</f>
        <v>0</v>
      </c>
      <c r="AW403" s="28">
        <f>I403*AO403</f>
        <v>0</v>
      </c>
      <c r="AX403" s="28">
        <f>I403*AP403</f>
        <v>0</v>
      </c>
      <c r="AY403" s="59" t="s">
        <v>943</v>
      </c>
      <c r="AZ403" s="59" t="s">
        <v>963</v>
      </c>
      <c r="BA403" s="56" t="s">
        <v>966</v>
      </c>
      <c r="BC403" s="28">
        <f>AW403+AX403</f>
        <v>0</v>
      </c>
      <c r="BD403" s="28">
        <f>J403/(100-BE403)*100</f>
        <v>0</v>
      </c>
      <c r="BE403" s="28">
        <v>0</v>
      </c>
      <c r="BF403" s="28">
        <f>403</f>
        <v>403</v>
      </c>
      <c r="BH403" s="61">
        <f>I403*AO403</f>
        <v>0</v>
      </c>
      <c r="BI403" s="61">
        <f>I403*AP403</f>
        <v>0</v>
      </c>
      <c r="BJ403" s="61">
        <f>I403*J403</f>
        <v>0</v>
      </c>
      <c r="BK403" s="61" t="s">
        <v>972</v>
      </c>
      <c r="BL403" s="28">
        <v>781</v>
      </c>
    </row>
    <row r="404" spans="1:64" x14ac:dyDescent="0.25">
      <c r="A404" s="17"/>
      <c r="C404" s="148" t="s">
        <v>808</v>
      </c>
      <c r="D404" s="149"/>
      <c r="E404" s="149"/>
      <c r="F404" s="149"/>
      <c r="G404" s="149"/>
      <c r="I404" s="77">
        <v>25.52</v>
      </c>
      <c r="L404" s="14"/>
      <c r="M404" s="17"/>
    </row>
    <row r="405" spans="1:64" x14ac:dyDescent="0.25">
      <c r="A405" s="17"/>
      <c r="C405" s="148" t="s">
        <v>809</v>
      </c>
      <c r="D405" s="149"/>
      <c r="E405" s="149"/>
      <c r="F405" s="149"/>
      <c r="G405" s="149"/>
      <c r="I405" s="77">
        <v>0.76600000000000001</v>
      </c>
      <c r="L405" s="14"/>
      <c r="M405" s="17"/>
    </row>
    <row r="406" spans="1:64" x14ac:dyDescent="0.25">
      <c r="A406" s="34" t="s">
        <v>228</v>
      </c>
      <c r="B406" s="41" t="s">
        <v>425</v>
      </c>
      <c r="C406" s="146" t="s">
        <v>810</v>
      </c>
      <c r="D406" s="147"/>
      <c r="E406" s="147"/>
      <c r="F406" s="147"/>
      <c r="G406" s="147"/>
      <c r="H406" s="41" t="s">
        <v>891</v>
      </c>
      <c r="I406" s="76">
        <v>60.319000000000003</v>
      </c>
      <c r="J406" s="60">
        <v>0</v>
      </c>
      <c r="K406" s="60">
        <f>I406*J406</f>
        <v>0</v>
      </c>
      <c r="L406" s="53" t="s">
        <v>906</v>
      </c>
      <c r="M406" s="17"/>
      <c r="Z406" s="28">
        <f>IF(AQ406="5",BJ406,0)</f>
        <v>0</v>
      </c>
      <c r="AB406" s="28">
        <f>IF(AQ406="1",BH406,0)</f>
        <v>0</v>
      </c>
      <c r="AC406" s="28">
        <f>IF(AQ406="1",BI406,0)</f>
        <v>0</v>
      </c>
      <c r="AD406" s="28">
        <f>IF(AQ406="7",BH406,0)</f>
        <v>0</v>
      </c>
      <c r="AE406" s="28">
        <f>IF(AQ406="7",BI406,0)</f>
        <v>0</v>
      </c>
      <c r="AF406" s="28">
        <f>IF(AQ406="2",BH406,0)</f>
        <v>0</v>
      </c>
      <c r="AG406" s="28">
        <f>IF(AQ406="2",BI406,0)</f>
        <v>0</v>
      </c>
      <c r="AH406" s="28">
        <f>IF(AQ406="0",BJ406,0)</f>
        <v>0</v>
      </c>
      <c r="AI406" s="56" t="s">
        <v>72</v>
      </c>
      <c r="AJ406" s="60">
        <f>IF(AN406=0,K406,0)</f>
        <v>0</v>
      </c>
      <c r="AK406" s="60">
        <f>IF(AN406=15,K406,0)</f>
        <v>0</v>
      </c>
      <c r="AL406" s="60">
        <f>IF(AN406=21,K406,0)</f>
        <v>0</v>
      </c>
      <c r="AN406" s="28">
        <v>21</v>
      </c>
      <c r="AO406" s="28">
        <f>J406*0.132711756968577</f>
        <v>0</v>
      </c>
      <c r="AP406" s="28">
        <f>J406*(1-0.132711756968577)</f>
        <v>0</v>
      </c>
      <c r="AQ406" s="57" t="s">
        <v>88</v>
      </c>
      <c r="AV406" s="28">
        <f>AW406+AX406</f>
        <v>0</v>
      </c>
      <c r="AW406" s="28">
        <f>I406*AO406</f>
        <v>0</v>
      </c>
      <c r="AX406" s="28">
        <f>I406*AP406</f>
        <v>0</v>
      </c>
      <c r="AY406" s="59" t="s">
        <v>943</v>
      </c>
      <c r="AZ406" s="59" t="s">
        <v>963</v>
      </c>
      <c r="BA406" s="56" t="s">
        <v>966</v>
      </c>
      <c r="BC406" s="28">
        <f>AW406+AX406</f>
        <v>0</v>
      </c>
      <c r="BD406" s="28">
        <f>J406/(100-BE406)*100</f>
        <v>0</v>
      </c>
      <c r="BE406" s="28">
        <v>0</v>
      </c>
      <c r="BF406" s="28">
        <f>406</f>
        <v>406</v>
      </c>
      <c r="BH406" s="60">
        <f>I406*AO406</f>
        <v>0</v>
      </c>
      <c r="BI406" s="60">
        <f>I406*AP406</f>
        <v>0</v>
      </c>
      <c r="BJ406" s="60">
        <f>I406*J406</f>
        <v>0</v>
      </c>
      <c r="BK406" s="60" t="s">
        <v>971</v>
      </c>
      <c r="BL406" s="28">
        <v>781</v>
      </c>
    </row>
    <row r="407" spans="1:64" x14ac:dyDescent="0.25">
      <c r="A407" s="17"/>
      <c r="C407" s="148" t="s">
        <v>811</v>
      </c>
      <c r="D407" s="149"/>
      <c r="E407" s="149"/>
      <c r="F407" s="149"/>
      <c r="G407" s="149"/>
      <c r="I407" s="77">
        <v>40.878999999999998</v>
      </c>
      <c r="L407" s="14"/>
      <c r="M407" s="17"/>
    </row>
    <row r="408" spans="1:64" x14ac:dyDescent="0.25">
      <c r="A408" s="17"/>
      <c r="C408" s="148" t="s">
        <v>812</v>
      </c>
      <c r="D408" s="149"/>
      <c r="E408" s="149"/>
      <c r="F408" s="149"/>
      <c r="G408" s="149"/>
      <c r="I408" s="77">
        <v>19.440000000000001</v>
      </c>
      <c r="L408" s="14"/>
      <c r="M408" s="17"/>
    </row>
    <row r="409" spans="1:64" x14ac:dyDescent="0.25">
      <c r="A409" s="35" t="s">
        <v>229</v>
      </c>
      <c r="B409" s="43" t="s">
        <v>426</v>
      </c>
      <c r="C409" s="159" t="s">
        <v>813</v>
      </c>
      <c r="D409" s="160"/>
      <c r="E409" s="160"/>
      <c r="F409" s="160"/>
      <c r="G409" s="160"/>
      <c r="H409" s="43" t="s">
        <v>891</v>
      </c>
      <c r="I409" s="78">
        <v>62.128999999999998</v>
      </c>
      <c r="J409" s="61">
        <v>0</v>
      </c>
      <c r="K409" s="61">
        <f>I409*J409</f>
        <v>0</v>
      </c>
      <c r="L409" s="54" t="s">
        <v>906</v>
      </c>
      <c r="M409" s="17"/>
      <c r="Z409" s="28">
        <f>IF(AQ409="5",BJ409,0)</f>
        <v>0</v>
      </c>
      <c r="AB409" s="28">
        <f>IF(AQ409="1",BH409,0)</f>
        <v>0</v>
      </c>
      <c r="AC409" s="28">
        <f>IF(AQ409="1",BI409,0)</f>
        <v>0</v>
      </c>
      <c r="AD409" s="28">
        <f>IF(AQ409="7",BH409,0)</f>
        <v>0</v>
      </c>
      <c r="AE409" s="28">
        <f>IF(AQ409="7",BI409,0)</f>
        <v>0</v>
      </c>
      <c r="AF409" s="28">
        <f>IF(AQ409="2",BH409,0)</f>
        <v>0</v>
      </c>
      <c r="AG409" s="28">
        <f>IF(AQ409="2",BI409,0)</f>
        <v>0</v>
      </c>
      <c r="AH409" s="28">
        <f>IF(AQ409="0",BJ409,0)</f>
        <v>0</v>
      </c>
      <c r="AI409" s="56" t="s">
        <v>72</v>
      </c>
      <c r="AJ409" s="61">
        <f>IF(AN409=0,K409,0)</f>
        <v>0</v>
      </c>
      <c r="AK409" s="61">
        <f>IF(AN409=15,K409,0)</f>
        <v>0</v>
      </c>
      <c r="AL409" s="61">
        <f>IF(AN409=21,K409,0)</f>
        <v>0</v>
      </c>
      <c r="AN409" s="28">
        <v>21</v>
      </c>
      <c r="AO409" s="28">
        <f>J409*1</f>
        <v>0</v>
      </c>
      <c r="AP409" s="28">
        <f>J409*(1-1)</f>
        <v>0</v>
      </c>
      <c r="AQ409" s="58" t="s">
        <v>88</v>
      </c>
      <c r="AV409" s="28">
        <f>AW409+AX409</f>
        <v>0</v>
      </c>
      <c r="AW409" s="28">
        <f>I409*AO409</f>
        <v>0</v>
      </c>
      <c r="AX409" s="28">
        <f>I409*AP409</f>
        <v>0</v>
      </c>
      <c r="AY409" s="59" t="s">
        <v>943</v>
      </c>
      <c r="AZ409" s="59" t="s">
        <v>963</v>
      </c>
      <c r="BA409" s="56" t="s">
        <v>966</v>
      </c>
      <c r="BC409" s="28">
        <f>AW409+AX409</f>
        <v>0</v>
      </c>
      <c r="BD409" s="28">
        <f>J409/(100-BE409)*100</f>
        <v>0</v>
      </c>
      <c r="BE409" s="28">
        <v>0</v>
      </c>
      <c r="BF409" s="28">
        <f>409</f>
        <v>409</v>
      </c>
      <c r="BH409" s="61">
        <f>I409*AO409</f>
        <v>0</v>
      </c>
      <c r="BI409" s="61">
        <f>I409*AP409</f>
        <v>0</v>
      </c>
      <c r="BJ409" s="61">
        <f>I409*J409</f>
        <v>0</v>
      </c>
      <c r="BK409" s="61" t="s">
        <v>972</v>
      </c>
      <c r="BL409" s="28">
        <v>781</v>
      </c>
    </row>
    <row r="410" spans="1:64" x14ac:dyDescent="0.25">
      <c r="A410" s="17"/>
      <c r="C410" s="148" t="s">
        <v>811</v>
      </c>
      <c r="D410" s="149"/>
      <c r="E410" s="149"/>
      <c r="F410" s="149"/>
      <c r="G410" s="149"/>
      <c r="I410" s="77">
        <v>40.878999999999998</v>
      </c>
      <c r="L410" s="14"/>
      <c r="M410" s="17"/>
    </row>
    <row r="411" spans="1:64" x14ac:dyDescent="0.25">
      <c r="A411" s="17"/>
      <c r="C411" s="148" t="s">
        <v>812</v>
      </c>
      <c r="D411" s="149"/>
      <c r="E411" s="149"/>
      <c r="F411" s="149"/>
      <c r="G411" s="149"/>
      <c r="I411" s="77">
        <v>19.440000000000001</v>
      </c>
      <c r="L411" s="14"/>
      <c r="M411" s="17"/>
    </row>
    <row r="412" spans="1:64" x14ac:dyDescent="0.25">
      <c r="A412" s="17"/>
      <c r="C412" s="148" t="s">
        <v>814</v>
      </c>
      <c r="D412" s="149"/>
      <c r="E412" s="149"/>
      <c r="F412" s="149"/>
      <c r="G412" s="149"/>
      <c r="I412" s="77">
        <v>1.81</v>
      </c>
      <c r="L412" s="14"/>
      <c r="M412" s="17"/>
    </row>
    <row r="413" spans="1:64" x14ac:dyDescent="0.25">
      <c r="A413" s="33"/>
      <c r="B413" s="40" t="s">
        <v>427</v>
      </c>
      <c r="C413" s="144" t="s">
        <v>815</v>
      </c>
      <c r="D413" s="145"/>
      <c r="E413" s="145"/>
      <c r="F413" s="145"/>
      <c r="G413" s="145"/>
      <c r="H413" s="46" t="s">
        <v>58</v>
      </c>
      <c r="I413" s="46" t="s">
        <v>58</v>
      </c>
      <c r="J413" s="46" t="s">
        <v>58</v>
      </c>
      <c r="K413" s="65">
        <f>SUM(K414:K418)</f>
        <v>0</v>
      </c>
      <c r="L413" s="52"/>
      <c r="M413" s="17"/>
      <c r="AI413" s="56" t="s">
        <v>72</v>
      </c>
      <c r="AS413" s="65">
        <f>SUM(AJ414:AJ418)</f>
        <v>0</v>
      </c>
      <c r="AT413" s="65">
        <f>SUM(AK414:AK418)</f>
        <v>0</v>
      </c>
      <c r="AU413" s="65">
        <f>SUM(AL414:AL418)</f>
        <v>0</v>
      </c>
    </row>
    <row r="414" spans="1:64" x14ac:dyDescent="0.25">
      <c r="A414" s="34" t="s">
        <v>230</v>
      </c>
      <c r="B414" s="41" t="s">
        <v>428</v>
      </c>
      <c r="C414" s="146" t="s">
        <v>816</v>
      </c>
      <c r="D414" s="147"/>
      <c r="E414" s="147"/>
      <c r="F414" s="147"/>
      <c r="G414" s="147"/>
      <c r="H414" s="41" t="s">
        <v>891</v>
      </c>
      <c r="I414" s="76">
        <v>751.24</v>
      </c>
      <c r="J414" s="60">
        <v>0</v>
      </c>
      <c r="K414" s="60">
        <f>I414*J414</f>
        <v>0</v>
      </c>
      <c r="L414" s="53" t="s">
        <v>906</v>
      </c>
      <c r="M414" s="17"/>
      <c r="Z414" s="28">
        <f>IF(AQ414="5",BJ414,0)</f>
        <v>0</v>
      </c>
      <c r="AB414" s="28">
        <f>IF(AQ414="1",BH414,0)</f>
        <v>0</v>
      </c>
      <c r="AC414" s="28">
        <f>IF(AQ414="1",BI414,0)</f>
        <v>0</v>
      </c>
      <c r="AD414" s="28">
        <f>IF(AQ414="7",BH414,0)</f>
        <v>0</v>
      </c>
      <c r="AE414" s="28">
        <f>IF(AQ414="7",BI414,0)</f>
        <v>0</v>
      </c>
      <c r="AF414" s="28">
        <f>IF(AQ414="2",BH414,0)</f>
        <v>0</v>
      </c>
      <c r="AG414" s="28">
        <f>IF(AQ414="2",BI414,0)</f>
        <v>0</v>
      </c>
      <c r="AH414" s="28">
        <f>IF(AQ414="0",BJ414,0)</f>
        <v>0</v>
      </c>
      <c r="AI414" s="56" t="s">
        <v>72</v>
      </c>
      <c r="AJ414" s="60">
        <f>IF(AN414=0,K414,0)</f>
        <v>0</v>
      </c>
      <c r="AK414" s="60">
        <f>IF(AN414=15,K414,0)</f>
        <v>0</v>
      </c>
      <c r="AL414" s="60">
        <f>IF(AN414=21,K414,0)</f>
        <v>0</v>
      </c>
      <c r="AN414" s="28">
        <v>21</v>
      </c>
      <c r="AO414" s="28">
        <f>J414*0.208</f>
        <v>0</v>
      </c>
      <c r="AP414" s="28">
        <f>J414*(1-0.208)</f>
        <v>0</v>
      </c>
      <c r="AQ414" s="57" t="s">
        <v>88</v>
      </c>
      <c r="AV414" s="28">
        <f>AW414+AX414</f>
        <v>0</v>
      </c>
      <c r="AW414" s="28">
        <f>I414*AO414</f>
        <v>0</v>
      </c>
      <c r="AX414" s="28">
        <f>I414*AP414</f>
        <v>0</v>
      </c>
      <c r="AY414" s="59" t="s">
        <v>944</v>
      </c>
      <c r="AZ414" s="59" t="s">
        <v>963</v>
      </c>
      <c r="BA414" s="56" t="s">
        <v>966</v>
      </c>
      <c r="BC414" s="28">
        <f>AW414+AX414</f>
        <v>0</v>
      </c>
      <c r="BD414" s="28">
        <f>J414/(100-BE414)*100</f>
        <v>0</v>
      </c>
      <c r="BE414" s="28">
        <v>0</v>
      </c>
      <c r="BF414" s="28">
        <f>414</f>
        <v>414</v>
      </c>
      <c r="BH414" s="60">
        <f>I414*AO414</f>
        <v>0</v>
      </c>
      <c r="BI414" s="60">
        <f>I414*AP414</f>
        <v>0</v>
      </c>
      <c r="BJ414" s="60">
        <f>I414*J414</f>
        <v>0</v>
      </c>
      <c r="BK414" s="60" t="s">
        <v>971</v>
      </c>
      <c r="BL414" s="28">
        <v>784</v>
      </c>
    </row>
    <row r="415" spans="1:64" x14ac:dyDescent="0.25">
      <c r="A415" s="17"/>
      <c r="C415" s="148" t="s">
        <v>817</v>
      </c>
      <c r="D415" s="149"/>
      <c r="E415" s="149"/>
      <c r="F415" s="149"/>
      <c r="G415" s="149"/>
      <c r="I415" s="77">
        <v>412.04599999999999</v>
      </c>
      <c r="L415" s="14"/>
      <c r="M415" s="17"/>
    </row>
    <row r="416" spans="1:64" x14ac:dyDescent="0.25">
      <c r="A416" s="17"/>
      <c r="C416" s="148" t="s">
        <v>818</v>
      </c>
      <c r="D416" s="149"/>
      <c r="E416" s="149"/>
      <c r="F416" s="149"/>
      <c r="G416" s="149"/>
      <c r="I416" s="77">
        <v>152.88800000000001</v>
      </c>
      <c r="L416" s="14"/>
      <c r="M416" s="17"/>
    </row>
    <row r="417" spans="1:64" x14ac:dyDescent="0.25">
      <c r="A417" s="17"/>
      <c r="C417" s="148" t="s">
        <v>575</v>
      </c>
      <c r="D417" s="149"/>
      <c r="E417" s="149"/>
      <c r="F417" s="149"/>
      <c r="G417" s="149"/>
      <c r="I417" s="77">
        <v>186.30600000000001</v>
      </c>
      <c r="L417" s="14"/>
      <c r="M417" s="17"/>
    </row>
    <row r="418" spans="1:64" x14ac:dyDescent="0.25">
      <c r="A418" s="34" t="s">
        <v>231</v>
      </c>
      <c r="B418" s="41" t="s">
        <v>429</v>
      </c>
      <c r="C418" s="146" t="s">
        <v>819</v>
      </c>
      <c r="D418" s="147"/>
      <c r="E418" s="147"/>
      <c r="F418" s="147"/>
      <c r="G418" s="147"/>
      <c r="H418" s="41" t="s">
        <v>891</v>
      </c>
      <c r="I418" s="76">
        <v>983.38300000000004</v>
      </c>
      <c r="J418" s="60">
        <v>0</v>
      </c>
      <c r="K418" s="60">
        <f>I418*J418</f>
        <v>0</v>
      </c>
      <c r="L418" s="53" t="s">
        <v>906</v>
      </c>
      <c r="M418" s="17"/>
      <c r="Z418" s="28">
        <f>IF(AQ418="5",BJ418,0)</f>
        <v>0</v>
      </c>
      <c r="AB418" s="28">
        <f>IF(AQ418="1",BH418,0)</f>
        <v>0</v>
      </c>
      <c r="AC418" s="28">
        <f>IF(AQ418="1",BI418,0)</f>
        <v>0</v>
      </c>
      <c r="AD418" s="28">
        <f>IF(AQ418="7",BH418,0)</f>
        <v>0</v>
      </c>
      <c r="AE418" s="28">
        <f>IF(AQ418="7",BI418,0)</f>
        <v>0</v>
      </c>
      <c r="AF418" s="28">
        <f>IF(AQ418="2",BH418,0)</f>
        <v>0</v>
      </c>
      <c r="AG418" s="28">
        <f>IF(AQ418="2",BI418,0)</f>
        <v>0</v>
      </c>
      <c r="AH418" s="28">
        <f>IF(AQ418="0",BJ418,0)</f>
        <v>0</v>
      </c>
      <c r="AI418" s="56" t="s">
        <v>72</v>
      </c>
      <c r="AJ418" s="60">
        <f>IF(AN418=0,K418,0)</f>
        <v>0</v>
      </c>
      <c r="AK418" s="60">
        <f>IF(AN418=15,K418,0)</f>
        <v>0</v>
      </c>
      <c r="AL418" s="60">
        <f>IF(AN418=21,K418,0)</f>
        <v>0</v>
      </c>
      <c r="AN418" s="28">
        <v>21</v>
      </c>
      <c r="AO418" s="28">
        <f>J418*0.110067164423576</f>
        <v>0</v>
      </c>
      <c r="AP418" s="28">
        <f>J418*(1-0.110067164423576)</f>
        <v>0</v>
      </c>
      <c r="AQ418" s="57" t="s">
        <v>88</v>
      </c>
      <c r="AV418" s="28">
        <f>AW418+AX418</f>
        <v>0</v>
      </c>
      <c r="AW418" s="28">
        <f>I418*AO418</f>
        <v>0</v>
      </c>
      <c r="AX418" s="28">
        <f>I418*AP418</f>
        <v>0</v>
      </c>
      <c r="AY418" s="59" t="s">
        <v>944</v>
      </c>
      <c r="AZ418" s="59" t="s">
        <v>963</v>
      </c>
      <c r="BA418" s="56" t="s">
        <v>966</v>
      </c>
      <c r="BC418" s="28">
        <f>AW418+AX418</f>
        <v>0</v>
      </c>
      <c r="BD418" s="28">
        <f>J418/(100-BE418)*100</f>
        <v>0</v>
      </c>
      <c r="BE418" s="28">
        <v>0</v>
      </c>
      <c r="BF418" s="28">
        <f>418</f>
        <v>418</v>
      </c>
      <c r="BH418" s="60">
        <f>I418*AO418</f>
        <v>0</v>
      </c>
      <c r="BI418" s="60">
        <f>I418*AP418</f>
        <v>0</v>
      </c>
      <c r="BJ418" s="60">
        <f>I418*J418</f>
        <v>0</v>
      </c>
      <c r="BK418" s="60" t="s">
        <v>971</v>
      </c>
      <c r="BL418" s="28">
        <v>784</v>
      </c>
    </row>
    <row r="419" spans="1:64" x14ac:dyDescent="0.25">
      <c r="A419" s="17"/>
      <c r="C419" s="148" t="s">
        <v>817</v>
      </c>
      <c r="D419" s="149"/>
      <c r="E419" s="149"/>
      <c r="F419" s="149"/>
      <c r="G419" s="149"/>
      <c r="I419" s="77">
        <v>412.04599999999999</v>
      </c>
      <c r="L419" s="14"/>
      <c r="M419" s="17"/>
    </row>
    <row r="420" spans="1:64" x14ac:dyDescent="0.25">
      <c r="A420" s="17"/>
      <c r="C420" s="148" t="s">
        <v>818</v>
      </c>
      <c r="D420" s="149"/>
      <c r="E420" s="149"/>
      <c r="F420" s="149"/>
      <c r="G420" s="149"/>
      <c r="I420" s="77">
        <v>152.88800000000001</v>
      </c>
      <c r="L420" s="14"/>
      <c r="M420" s="17"/>
    </row>
    <row r="421" spans="1:64" x14ac:dyDescent="0.25">
      <c r="A421" s="17"/>
      <c r="C421" s="148" t="s">
        <v>575</v>
      </c>
      <c r="D421" s="149"/>
      <c r="E421" s="149"/>
      <c r="F421" s="149"/>
      <c r="G421" s="149"/>
      <c r="I421" s="77">
        <v>186.30600000000001</v>
      </c>
      <c r="L421" s="14"/>
      <c r="M421" s="17"/>
    </row>
    <row r="422" spans="1:64" x14ac:dyDescent="0.25">
      <c r="A422" s="17"/>
      <c r="C422" s="148" t="s">
        <v>820</v>
      </c>
      <c r="D422" s="149"/>
      <c r="E422" s="149"/>
      <c r="F422" s="149"/>
      <c r="G422" s="149"/>
      <c r="I422" s="77">
        <v>11.5</v>
      </c>
      <c r="L422" s="14"/>
      <c r="M422" s="17"/>
    </row>
    <row r="423" spans="1:64" x14ac:dyDescent="0.25">
      <c r="A423" s="17"/>
      <c r="C423" s="148" t="s">
        <v>821</v>
      </c>
      <c r="D423" s="149"/>
      <c r="E423" s="149"/>
      <c r="F423" s="149"/>
      <c r="G423" s="149"/>
      <c r="I423" s="77">
        <v>38.573</v>
      </c>
      <c r="L423" s="14"/>
      <c r="M423" s="17"/>
    </row>
    <row r="424" spans="1:64" x14ac:dyDescent="0.25">
      <c r="A424" s="17"/>
      <c r="C424" s="148" t="s">
        <v>822</v>
      </c>
      <c r="D424" s="149"/>
      <c r="E424" s="149"/>
      <c r="F424" s="149"/>
      <c r="G424" s="149"/>
      <c r="I424" s="77">
        <v>75.67</v>
      </c>
      <c r="L424" s="14"/>
      <c r="M424" s="17"/>
    </row>
    <row r="425" spans="1:64" x14ac:dyDescent="0.25">
      <c r="A425" s="17"/>
      <c r="C425" s="148" t="s">
        <v>823</v>
      </c>
      <c r="D425" s="149"/>
      <c r="E425" s="149"/>
      <c r="F425" s="149"/>
      <c r="G425" s="149"/>
      <c r="I425" s="77">
        <v>61.32</v>
      </c>
      <c r="L425" s="14"/>
      <c r="M425" s="17"/>
    </row>
    <row r="426" spans="1:64" x14ac:dyDescent="0.25">
      <c r="A426" s="17"/>
      <c r="C426" s="148" t="s">
        <v>824</v>
      </c>
      <c r="D426" s="149"/>
      <c r="E426" s="149"/>
      <c r="F426" s="149"/>
      <c r="G426" s="149"/>
      <c r="I426" s="77">
        <v>45.08</v>
      </c>
      <c r="L426" s="14"/>
      <c r="M426" s="17"/>
    </row>
    <row r="427" spans="1:64" x14ac:dyDescent="0.25">
      <c r="A427" s="33"/>
      <c r="B427" s="40" t="s">
        <v>171</v>
      </c>
      <c r="C427" s="144" t="s">
        <v>825</v>
      </c>
      <c r="D427" s="145"/>
      <c r="E427" s="145"/>
      <c r="F427" s="145"/>
      <c r="G427" s="145"/>
      <c r="H427" s="46" t="s">
        <v>58</v>
      </c>
      <c r="I427" s="46" t="s">
        <v>58</v>
      </c>
      <c r="J427" s="46" t="s">
        <v>58</v>
      </c>
      <c r="K427" s="65">
        <f>SUM(K428:K428)</f>
        <v>0</v>
      </c>
      <c r="L427" s="52"/>
      <c r="M427" s="17"/>
      <c r="AI427" s="56" t="s">
        <v>72</v>
      </c>
      <c r="AS427" s="65">
        <f>SUM(AJ428:AJ428)</f>
        <v>0</v>
      </c>
      <c r="AT427" s="65">
        <f>SUM(AK428:AK428)</f>
        <v>0</v>
      </c>
      <c r="AU427" s="65">
        <f>SUM(AL428:AL428)</f>
        <v>0</v>
      </c>
    </row>
    <row r="428" spans="1:64" x14ac:dyDescent="0.25">
      <c r="A428" s="34" t="s">
        <v>232</v>
      </c>
      <c r="B428" s="41" t="s">
        <v>430</v>
      </c>
      <c r="C428" s="146" t="s">
        <v>826</v>
      </c>
      <c r="D428" s="147"/>
      <c r="E428" s="147"/>
      <c r="F428" s="147"/>
      <c r="G428" s="147"/>
      <c r="H428" s="41" t="s">
        <v>899</v>
      </c>
      <c r="I428" s="76">
        <v>80</v>
      </c>
      <c r="J428" s="60">
        <v>0</v>
      </c>
      <c r="K428" s="60">
        <f>I428*J428</f>
        <v>0</v>
      </c>
      <c r="L428" s="53" t="s">
        <v>906</v>
      </c>
      <c r="M428" s="17"/>
      <c r="Z428" s="28">
        <f>IF(AQ428="5",BJ428,0)</f>
        <v>0</v>
      </c>
      <c r="AB428" s="28">
        <f>IF(AQ428="1",BH428,0)</f>
        <v>0</v>
      </c>
      <c r="AC428" s="28">
        <f>IF(AQ428="1",BI428,0)</f>
        <v>0</v>
      </c>
      <c r="AD428" s="28">
        <f>IF(AQ428="7",BH428,0)</f>
        <v>0</v>
      </c>
      <c r="AE428" s="28">
        <f>IF(AQ428="7",BI428,0)</f>
        <v>0</v>
      </c>
      <c r="AF428" s="28">
        <f>IF(AQ428="2",BH428,0)</f>
        <v>0</v>
      </c>
      <c r="AG428" s="28">
        <f>IF(AQ428="2",BI428,0)</f>
        <v>0</v>
      </c>
      <c r="AH428" s="28">
        <f>IF(AQ428="0",BJ428,0)</f>
        <v>0</v>
      </c>
      <c r="AI428" s="56" t="s">
        <v>72</v>
      </c>
      <c r="AJ428" s="60">
        <f>IF(AN428=0,K428,0)</f>
        <v>0</v>
      </c>
      <c r="AK428" s="60">
        <f>IF(AN428=15,K428,0)</f>
        <v>0</v>
      </c>
      <c r="AL428" s="60">
        <f>IF(AN428=21,K428,0)</f>
        <v>0</v>
      </c>
      <c r="AN428" s="28">
        <v>21</v>
      </c>
      <c r="AO428" s="28">
        <f>J428*0</f>
        <v>0</v>
      </c>
      <c r="AP428" s="28">
        <f>J428*(1-0)</f>
        <v>0</v>
      </c>
      <c r="AQ428" s="57" t="s">
        <v>82</v>
      </c>
      <c r="AV428" s="28">
        <f>AW428+AX428</f>
        <v>0</v>
      </c>
      <c r="AW428" s="28">
        <f>I428*AO428</f>
        <v>0</v>
      </c>
      <c r="AX428" s="28">
        <f>I428*AP428</f>
        <v>0</v>
      </c>
      <c r="AY428" s="59" t="s">
        <v>945</v>
      </c>
      <c r="AZ428" s="59" t="s">
        <v>964</v>
      </c>
      <c r="BA428" s="56" t="s">
        <v>966</v>
      </c>
      <c r="BC428" s="28">
        <f>AW428+AX428</f>
        <v>0</v>
      </c>
      <c r="BD428" s="28">
        <f>J428/(100-BE428)*100</f>
        <v>0</v>
      </c>
      <c r="BE428" s="28">
        <v>0</v>
      </c>
      <c r="BF428" s="28">
        <f>428</f>
        <v>428</v>
      </c>
      <c r="BH428" s="60">
        <f>I428*AO428</f>
        <v>0</v>
      </c>
      <c r="BI428" s="60">
        <f>I428*AP428</f>
        <v>0</v>
      </c>
      <c r="BJ428" s="60">
        <f>I428*J428</f>
        <v>0</v>
      </c>
      <c r="BK428" s="60" t="s">
        <v>971</v>
      </c>
      <c r="BL428" s="28">
        <v>90</v>
      </c>
    </row>
    <row r="429" spans="1:64" x14ac:dyDescent="0.25">
      <c r="A429" s="33"/>
      <c r="B429" s="40" t="s">
        <v>175</v>
      </c>
      <c r="C429" s="144" t="s">
        <v>827</v>
      </c>
      <c r="D429" s="145"/>
      <c r="E429" s="145"/>
      <c r="F429" s="145"/>
      <c r="G429" s="145"/>
      <c r="H429" s="46" t="s">
        <v>58</v>
      </c>
      <c r="I429" s="46" t="s">
        <v>58</v>
      </c>
      <c r="J429" s="46" t="s">
        <v>58</v>
      </c>
      <c r="K429" s="65">
        <f>SUM(K430:K443)</f>
        <v>0</v>
      </c>
      <c r="L429" s="52"/>
      <c r="M429" s="17"/>
      <c r="AI429" s="56" t="s">
        <v>72</v>
      </c>
      <c r="AS429" s="65">
        <f>SUM(AJ430:AJ443)</f>
        <v>0</v>
      </c>
      <c r="AT429" s="65">
        <f>SUM(AK430:AK443)</f>
        <v>0</v>
      </c>
      <c r="AU429" s="65">
        <f>SUM(AL430:AL443)</f>
        <v>0</v>
      </c>
    </row>
    <row r="430" spans="1:64" x14ac:dyDescent="0.25">
      <c r="A430" s="34" t="s">
        <v>233</v>
      </c>
      <c r="B430" s="41" t="s">
        <v>431</v>
      </c>
      <c r="C430" s="146" t="s">
        <v>828</v>
      </c>
      <c r="D430" s="147"/>
      <c r="E430" s="147"/>
      <c r="F430" s="147"/>
      <c r="G430" s="147"/>
      <c r="H430" s="41" t="s">
        <v>891</v>
      </c>
      <c r="I430" s="76">
        <v>360.02</v>
      </c>
      <c r="J430" s="60">
        <v>0</v>
      </c>
      <c r="K430" s="60">
        <f>I430*J430</f>
        <v>0</v>
      </c>
      <c r="L430" s="53" t="s">
        <v>906</v>
      </c>
      <c r="M430" s="17"/>
      <c r="Z430" s="28">
        <f>IF(AQ430="5",BJ430,0)</f>
        <v>0</v>
      </c>
      <c r="AB430" s="28">
        <f>IF(AQ430="1",BH430,0)</f>
        <v>0</v>
      </c>
      <c r="AC430" s="28">
        <f>IF(AQ430="1",BI430,0)</f>
        <v>0</v>
      </c>
      <c r="AD430" s="28">
        <f>IF(AQ430="7",BH430,0)</f>
        <v>0</v>
      </c>
      <c r="AE430" s="28">
        <f>IF(AQ430="7",BI430,0)</f>
        <v>0</v>
      </c>
      <c r="AF430" s="28">
        <f>IF(AQ430="2",BH430,0)</f>
        <v>0</v>
      </c>
      <c r="AG430" s="28">
        <f>IF(AQ430="2",BI430,0)</f>
        <v>0</v>
      </c>
      <c r="AH430" s="28">
        <f>IF(AQ430="0",BJ430,0)</f>
        <v>0</v>
      </c>
      <c r="AI430" s="56" t="s">
        <v>72</v>
      </c>
      <c r="AJ430" s="60">
        <f>IF(AN430=0,K430,0)</f>
        <v>0</v>
      </c>
      <c r="AK430" s="60">
        <f>IF(AN430=15,K430,0)</f>
        <v>0</v>
      </c>
      <c r="AL430" s="60">
        <f>IF(AN430=21,K430,0)</f>
        <v>0</v>
      </c>
      <c r="AN430" s="28">
        <v>21</v>
      </c>
      <c r="AO430" s="28">
        <f>J430*0.330537121146175</f>
        <v>0</v>
      </c>
      <c r="AP430" s="28">
        <f>J430*(1-0.330537121146175)</f>
        <v>0</v>
      </c>
      <c r="AQ430" s="57" t="s">
        <v>82</v>
      </c>
      <c r="AV430" s="28">
        <f>AW430+AX430</f>
        <v>0</v>
      </c>
      <c r="AW430" s="28">
        <f>I430*AO430</f>
        <v>0</v>
      </c>
      <c r="AX430" s="28">
        <f>I430*AP430</f>
        <v>0</v>
      </c>
      <c r="AY430" s="59" t="s">
        <v>946</v>
      </c>
      <c r="AZ430" s="59" t="s">
        <v>964</v>
      </c>
      <c r="BA430" s="56" t="s">
        <v>966</v>
      </c>
      <c r="BC430" s="28">
        <f>AW430+AX430</f>
        <v>0</v>
      </c>
      <c r="BD430" s="28">
        <f>J430/(100-BE430)*100</f>
        <v>0</v>
      </c>
      <c r="BE430" s="28">
        <v>0</v>
      </c>
      <c r="BF430" s="28">
        <f>430</f>
        <v>430</v>
      </c>
      <c r="BH430" s="60">
        <f>I430*AO430</f>
        <v>0</v>
      </c>
      <c r="BI430" s="60">
        <f>I430*AP430</f>
        <v>0</v>
      </c>
      <c r="BJ430" s="60">
        <f>I430*J430</f>
        <v>0</v>
      </c>
      <c r="BK430" s="60" t="s">
        <v>971</v>
      </c>
      <c r="BL430" s="28">
        <v>94</v>
      </c>
    </row>
    <row r="431" spans="1:64" x14ac:dyDescent="0.25">
      <c r="A431" s="17"/>
      <c r="C431" s="148" t="s">
        <v>530</v>
      </c>
      <c r="D431" s="149"/>
      <c r="E431" s="149"/>
      <c r="F431" s="149"/>
      <c r="G431" s="149"/>
      <c r="I431" s="77">
        <v>0</v>
      </c>
      <c r="L431" s="14"/>
      <c r="M431" s="17"/>
    </row>
    <row r="432" spans="1:64" x14ac:dyDescent="0.25">
      <c r="A432" s="17"/>
      <c r="C432" s="148" t="s">
        <v>829</v>
      </c>
      <c r="D432" s="149"/>
      <c r="E432" s="149"/>
      <c r="F432" s="149"/>
      <c r="G432" s="149"/>
      <c r="I432" s="77">
        <v>5.32</v>
      </c>
      <c r="L432" s="14"/>
      <c r="M432" s="17"/>
    </row>
    <row r="433" spans="1:64" x14ac:dyDescent="0.25">
      <c r="A433" s="17"/>
      <c r="C433" s="148" t="s">
        <v>830</v>
      </c>
      <c r="D433" s="149"/>
      <c r="E433" s="149"/>
      <c r="F433" s="149"/>
      <c r="G433" s="149"/>
      <c r="I433" s="77">
        <v>92.43</v>
      </c>
      <c r="L433" s="14"/>
      <c r="M433" s="17"/>
    </row>
    <row r="434" spans="1:64" x14ac:dyDescent="0.25">
      <c r="A434" s="17"/>
      <c r="C434" s="148" t="s">
        <v>831</v>
      </c>
      <c r="D434" s="149"/>
      <c r="E434" s="149"/>
      <c r="F434" s="149"/>
      <c r="G434" s="149"/>
      <c r="I434" s="77">
        <v>5.55</v>
      </c>
      <c r="L434" s="14"/>
      <c r="M434" s="17"/>
    </row>
    <row r="435" spans="1:64" x14ac:dyDescent="0.25">
      <c r="A435" s="17"/>
      <c r="C435" s="148" t="s">
        <v>832</v>
      </c>
      <c r="D435" s="149"/>
      <c r="E435" s="149"/>
      <c r="F435" s="149"/>
      <c r="G435" s="149"/>
      <c r="I435" s="77">
        <v>63.97</v>
      </c>
      <c r="L435" s="14"/>
      <c r="M435" s="17"/>
    </row>
    <row r="436" spans="1:64" x14ac:dyDescent="0.25">
      <c r="A436" s="17"/>
      <c r="C436" s="148" t="s">
        <v>532</v>
      </c>
      <c r="D436" s="149"/>
      <c r="E436" s="149"/>
      <c r="F436" s="149"/>
      <c r="G436" s="149"/>
      <c r="I436" s="77">
        <v>0</v>
      </c>
      <c r="L436" s="14"/>
      <c r="M436" s="17"/>
    </row>
    <row r="437" spans="1:64" x14ac:dyDescent="0.25">
      <c r="A437" s="17"/>
      <c r="C437" s="148" t="s">
        <v>613</v>
      </c>
      <c r="D437" s="149"/>
      <c r="E437" s="149"/>
      <c r="F437" s="149"/>
      <c r="G437" s="149"/>
      <c r="I437" s="77">
        <v>122.33</v>
      </c>
      <c r="L437" s="14"/>
      <c r="M437" s="17"/>
    </row>
    <row r="438" spans="1:64" x14ac:dyDescent="0.25">
      <c r="A438" s="17"/>
      <c r="C438" s="148" t="s">
        <v>833</v>
      </c>
      <c r="D438" s="149"/>
      <c r="E438" s="149"/>
      <c r="F438" s="149"/>
      <c r="G438" s="149"/>
      <c r="I438" s="77">
        <v>70.42</v>
      </c>
      <c r="L438" s="14"/>
      <c r="M438" s="17"/>
    </row>
    <row r="439" spans="1:64" x14ac:dyDescent="0.25">
      <c r="A439" s="34" t="s">
        <v>234</v>
      </c>
      <c r="B439" s="41" t="s">
        <v>432</v>
      </c>
      <c r="C439" s="146" t="s">
        <v>834</v>
      </c>
      <c r="D439" s="147"/>
      <c r="E439" s="147"/>
      <c r="F439" s="147"/>
      <c r="G439" s="147"/>
      <c r="H439" s="41" t="s">
        <v>891</v>
      </c>
      <c r="I439" s="76">
        <v>257.10000000000002</v>
      </c>
      <c r="J439" s="60">
        <v>0</v>
      </c>
      <c r="K439" s="60">
        <f>I439*J439</f>
        <v>0</v>
      </c>
      <c r="L439" s="53" t="s">
        <v>906</v>
      </c>
      <c r="M439" s="17"/>
      <c r="Z439" s="28">
        <f>IF(AQ439="5",BJ439,0)</f>
        <v>0</v>
      </c>
      <c r="AB439" s="28">
        <f>IF(AQ439="1",BH439,0)</f>
        <v>0</v>
      </c>
      <c r="AC439" s="28">
        <f>IF(AQ439="1",BI439,0)</f>
        <v>0</v>
      </c>
      <c r="AD439" s="28">
        <f>IF(AQ439="7",BH439,0)</f>
        <v>0</v>
      </c>
      <c r="AE439" s="28">
        <f>IF(AQ439="7",BI439,0)</f>
        <v>0</v>
      </c>
      <c r="AF439" s="28">
        <f>IF(AQ439="2",BH439,0)</f>
        <v>0</v>
      </c>
      <c r="AG439" s="28">
        <f>IF(AQ439="2",BI439,0)</f>
        <v>0</v>
      </c>
      <c r="AH439" s="28">
        <f>IF(AQ439="0",BJ439,0)</f>
        <v>0</v>
      </c>
      <c r="AI439" s="56" t="s">
        <v>72</v>
      </c>
      <c r="AJ439" s="60">
        <f>IF(AN439=0,K439,0)</f>
        <v>0</v>
      </c>
      <c r="AK439" s="60">
        <f>IF(AN439=15,K439,0)</f>
        <v>0</v>
      </c>
      <c r="AL439" s="60">
        <f>IF(AN439=21,K439,0)</f>
        <v>0</v>
      </c>
      <c r="AN439" s="28">
        <v>21</v>
      </c>
      <c r="AO439" s="28">
        <f>J439*0.000437316792443202</f>
        <v>0</v>
      </c>
      <c r="AP439" s="28">
        <f>J439*(1-0.000437316792443202)</f>
        <v>0</v>
      </c>
      <c r="AQ439" s="57" t="s">
        <v>82</v>
      </c>
      <c r="AV439" s="28">
        <f>AW439+AX439</f>
        <v>0</v>
      </c>
      <c r="AW439" s="28">
        <f>I439*AO439</f>
        <v>0</v>
      </c>
      <c r="AX439" s="28">
        <f>I439*AP439</f>
        <v>0</v>
      </c>
      <c r="AY439" s="59" t="s">
        <v>946</v>
      </c>
      <c r="AZ439" s="59" t="s">
        <v>964</v>
      </c>
      <c r="BA439" s="56" t="s">
        <v>966</v>
      </c>
      <c r="BC439" s="28">
        <f>AW439+AX439</f>
        <v>0</v>
      </c>
      <c r="BD439" s="28">
        <f>J439/(100-BE439)*100</f>
        <v>0</v>
      </c>
      <c r="BE439" s="28">
        <v>0</v>
      </c>
      <c r="BF439" s="28">
        <f>439</f>
        <v>439</v>
      </c>
      <c r="BH439" s="60">
        <f>I439*AO439</f>
        <v>0</v>
      </c>
      <c r="BI439" s="60">
        <f>I439*AP439</f>
        <v>0</v>
      </c>
      <c r="BJ439" s="60">
        <f>I439*J439</f>
        <v>0</v>
      </c>
      <c r="BK439" s="60" t="s">
        <v>971</v>
      </c>
      <c r="BL439" s="28">
        <v>94</v>
      </c>
    </row>
    <row r="440" spans="1:64" x14ac:dyDescent="0.25">
      <c r="A440" s="17"/>
      <c r="C440" s="148" t="s">
        <v>835</v>
      </c>
      <c r="D440" s="149"/>
      <c r="E440" s="149"/>
      <c r="F440" s="149"/>
      <c r="G440" s="149"/>
      <c r="I440" s="77">
        <v>257.10000000000002</v>
      </c>
      <c r="L440" s="14"/>
      <c r="M440" s="17"/>
    </row>
    <row r="441" spans="1:64" x14ac:dyDescent="0.25">
      <c r="A441" s="34" t="s">
        <v>235</v>
      </c>
      <c r="B441" s="41" t="s">
        <v>433</v>
      </c>
      <c r="C441" s="146" t="s">
        <v>836</v>
      </c>
      <c r="D441" s="147"/>
      <c r="E441" s="147"/>
      <c r="F441" s="147"/>
      <c r="G441" s="147"/>
      <c r="H441" s="41" t="s">
        <v>891</v>
      </c>
      <c r="I441" s="76">
        <v>514.20000000000005</v>
      </c>
      <c r="J441" s="60">
        <v>0</v>
      </c>
      <c r="K441" s="60">
        <f>I441*J441</f>
        <v>0</v>
      </c>
      <c r="L441" s="53" t="s">
        <v>906</v>
      </c>
      <c r="M441" s="17"/>
      <c r="Z441" s="28">
        <f>IF(AQ441="5",BJ441,0)</f>
        <v>0</v>
      </c>
      <c r="AB441" s="28">
        <f>IF(AQ441="1",BH441,0)</f>
        <v>0</v>
      </c>
      <c r="AC441" s="28">
        <f>IF(AQ441="1",BI441,0)</f>
        <v>0</v>
      </c>
      <c r="AD441" s="28">
        <f>IF(AQ441="7",BH441,0)</f>
        <v>0</v>
      </c>
      <c r="AE441" s="28">
        <f>IF(AQ441="7",BI441,0)</f>
        <v>0</v>
      </c>
      <c r="AF441" s="28">
        <f>IF(AQ441="2",BH441,0)</f>
        <v>0</v>
      </c>
      <c r="AG441" s="28">
        <f>IF(AQ441="2",BI441,0)</f>
        <v>0</v>
      </c>
      <c r="AH441" s="28">
        <f>IF(AQ441="0",BJ441,0)</f>
        <v>0</v>
      </c>
      <c r="AI441" s="56" t="s">
        <v>72</v>
      </c>
      <c r="AJ441" s="60">
        <f>IF(AN441=0,K441,0)</f>
        <v>0</v>
      </c>
      <c r="AK441" s="60">
        <f>IF(AN441=15,K441,0)</f>
        <v>0</v>
      </c>
      <c r="AL441" s="60">
        <f>IF(AN441=21,K441,0)</f>
        <v>0</v>
      </c>
      <c r="AN441" s="28">
        <v>21</v>
      </c>
      <c r="AO441" s="28">
        <f>J441*0.921156142866048</f>
        <v>0</v>
      </c>
      <c r="AP441" s="28">
        <f>J441*(1-0.921156142866048)</f>
        <v>0</v>
      </c>
      <c r="AQ441" s="57" t="s">
        <v>82</v>
      </c>
      <c r="AV441" s="28">
        <f>AW441+AX441</f>
        <v>0</v>
      </c>
      <c r="AW441" s="28">
        <f>I441*AO441</f>
        <v>0</v>
      </c>
      <c r="AX441" s="28">
        <f>I441*AP441</f>
        <v>0</v>
      </c>
      <c r="AY441" s="59" t="s">
        <v>946</v>
      </c>
      <c r="AZ441" s="59" t="s">
        <v>964</v>
      </c>
      <c r="BA441" s="56" t="s">
        <v>966</v>
      </c>
      <c r="BC441" s="28">
        <f>AW441+AX441</f>
        <v>0</v>
      </c>
      <c r="BD441" s="28">
        <f>J441/(100-BE441)*100</f>
        <v>0</v>
      </c>
      <c r="BE441" s="28">
        <v>0</v>
      </c>
      <c r="BF441" s="28">
        <f>441</f>
        <v>441</v>
      </c>
      <c r="BH441" s="60">
        <f>I441*AO441</f>
        <v>0</v>
      </c>
      <c r="BI441" s="60">
        <f>I441*AP441</f>
        <v>0</v>
      </c>
      <c r="BJ441" s="60">
        <f>I441*J441</f>
        <v>0</v>
      </c>
      <c r="BK441" s="60" t="s">
        <v>971</v>
      </c>
      <c r="BL441" s="28">
        <v>94</v>
      </c>
    </row>
    <row r="442" spans="1:64" x14ac:dyDescent="0.25">
      <c r="A442" s="17"/>
      <c r="C442" s="148" t="s">
        <v>837</v>
      </c>
      <c r="D442" s="149"/>
      <c r="E442" s="149"/>
      <c r="F442" s="149"/>
      <c r="G442" s="149"/>
      <c r="I442" s="77">
        <v>514.20000000000005</v>
      </c>
      <c r="L442" s="14"/>
      <c r="M442" s="17"/>
    </row>
    <row r="443" spans="1:64" x14ac:dyDescent="0.25">
      <c r="A443" s="34" t="s">
        <v>236</v>
      </c>
      <c r="B443" s="41" t="s">
        <v>434</v>
      </c>
      <c r="C443" s="146" t="s">
        <v>838</v>
      </c>
      <c r="D443" s="147"/>
      <c r="E443" s="147"/>
      <c r="F443" s="147"/>
      <c r="G443" s="147"/>
      <c r="H443" s="41" t="s">
        <v>891</v>
      </c>
      <c r="I443" s="76">
        <v>257.10000000000002</v>
      </c>
      <c r="J443" s="60">
        <v>0</v>
      </c>
      <c r="K443" s="60">
        <f>I443*J443</f>
        <v>0</v>
      </c>
      <c r="L443" s="53" t="s">
        <v>906</v>
      </c>
      <c r="M443" s="17"/>
      <c r="Z443" s="28">
        <f>IF(AQ443="5",BJ443,0)</f>
        <v>0</v>
      </c>
      <c r="AB443" s="28">
        <f>IF(AQ443="1",BH443,0)</f>
        <v>0</v>
      </c>
      <c r="AC443" s="28">
        <f>IF(AQ443="1",BI443,0)</f>
        <v>0</v>
      </c>
      <c r="AD443" s="28">
        <f>IF(AQ443="7",BH443,0)</f>
        <v>0</v>
      </c>
      <c r="AE443" s="28">
        <f>IF(AQ443="7",BI443,0)</f>
        <v>0</v>
      </c>
      <c r="AF443" s="28">
        <f>IF(AQ443="2",BH443,0)</f>
        <v>0</v>
      </c>
      <c r="AG443" s="28">
        <f>IF(AQ443="2",BI443,0)</f>
        <v>0</v>
      </c>
      <c r="AH443" s="28">
        <f>IF(AQ443="0",BJ443,0)</f>
        <v>0</v>
      </c>
      <c r="AI443" s="56" t="s">
        <v>72</v>
      </c>
      <c r="AJ443" s="60">
        <f>IF(AN443=0,K443,0)</f>
        <v>0</v>
      </c>
      <c r="AK443" s="60">
        <f>IF(AN443=15,K443,0)</f>
        <v>0</v>
      </c>
      <c r="AL443" s="60">
        <f>IF(AN443=21,K443,0)</f>
        <v>0</v>
      </c>
      <c r="AN443" s="28">
        <v>21</v>
      </c>
      <c r="AO443" s="28">
        <f>J443*0</f>
        <v>0</v>
      </c>
      <c r="AP443" s="28">
        <f>J443*(1-0)</f>
        <v>0</v>
      </c>
      <c r="AQ443" s="57" t="s">
        <v>82</v>
      </c>
      <c r="AV443" s="28">
        <f>AW443+AX443</f>
        <v>0</v>
      </c>
      <c r="AW443" s="28">
        <f>I443*AO443</f>
        <v>0</v>
      </c>
      <c r="AX443" s="28">
        <f>I443*AP443</f>
        <v>0</v>
      </c>
      <c r="AY443" s="59" t="s">
        <v>946</v>
      </c>
      <c r="AZ443" s="59" t="s">
        <v>964</v>
      </c>
      <c r="BA443" s="56" t="s">
        <v>966</v>
      </c>
      <c r="BC443" s="28">
        <f>AW443+AX443</f>
        <v>0</v>
      </c>
      <c r="BD443" s="28">
        <f>J443/(100-BE443)*100</f>
        <v>0</v>
      </c>
      <c r="BE443" s="28">
        <v>0</v>
      </c>
      <c r="BF443" s="28">
        <f>443</f>
        <v>443</v>
      </c>
      <c r="BH443" s="60">
        <f>I443*AO443</f>
        <v>0</v>
      </c>
      <c r="BI443" s="60">
        <f>I443*AP443</f>
        <v>0</v>
      </c>
      <c r="BJ443" s="60">
        <f>I443*J443</f>
        <v>0</v>
      </c>
      <c r="BK443" s="60" t="s">
        <v>971</v>
      </c>
      <c r="BL443" s="28">
        <v>94</v>
      </c>
    </row>
    <row r="444" spans="1:64" x14ac:dyDescent="0.25">
      <c r="A444" s="33"/>
      <c r="B444" s="40" t="s">
        <v>176</v>
      </c>
      <c r="C444" s="144" t="s">
        <v>839</v>
      </c>
      <c r="D444" s="145"/>
      <c r="E444" s="145"/>
      <c r="F444" s="145"/>
      <c r="G444" s="145"/>
      <c r="H444" s="46" t="s">
        <v>58</v>
      </c>
      <c r="I444" s="46" t="s">
        <v>58</v>
      </c>
      <c r="J444" s="46" t="s">
        <v>58</v>
      </c>
      <c r="K444" s="65">
        <f>SUM(K445:K454)</f>
        <v>0</v>
      </c>
      <c r="L444" s="52"/>
      <c r="M444" s="17"/>
      <c r="AI444" s="56" t="s">
        <v>72</v>
      </c>
      <c r="AS444" s="65">
        <f>SUM(AJ445:AJ454)</f>
        <v>0</v>
      </c>
      <c r="AT444" s="65">
        <f>SUM(AK445:AK454)</f>
        <v>0</v>
      </c>
      <c r="AU444" s="65">
        <f>SUM(AL445:AL454)</f>
        <v>0</v>
      </c>
    </row>
    <row r="445" spans="1:64" x14ac:dyDescent="0.25">
      <c r="A445" s="34" t="s">
        <v>237</v>
      </c>
      <c r="B445" s="41" t="s">
        <v>435</v>
      </c>
      <c r="C445" s="146" t="s">
        <v>840</v>
      </c>
      <c r="D445" s="147"/>
      <c r="E445" s="147"/>
      <c r="F445" s="147"/>
      <c r="G445" s="147"/>
      <c r="H445" s="41" t="s">
        <v>891</v>
      </c>
      <c r="I445" s="76">
        <v>360.02</v>
      </c>
      <c r="J445" s="60">
        <v>0</v>
      </c>
      <c r="K445" s="60">
        <f>I445*J445</f>
        <v>0</v>
      </c>
      <c r="L445" s="53" t="s">
        <v>906</v>
      </c>
      <c r="M445" s="17"/>
      <c r="Z445" s="28">
        <f>IF(AQ445="5",BJ445,0)</f>
        <v>0</v>
      </c>
      <c r="AB445" s="28">
        <f>IF(AQ445="1",BH445,0)</f>
        <v>0</v>
      </c>
      <c r="AC445" s="28">
        <f>IF(AQ445="1",BI445,0)</f>
        <v>0</v>
      </c>
      <c r="AD445" s="28">
        <f>IF(AQ445="7",BH445,0)</f>
        <v>0</v>
      </c>
      <c r="AE445" s="28">
        <f>IF(AQ445="7",BI445,0)</f>
        <v>0</v>
      </c>
      <c r="AF445" s="28">
        <f>IF(AQ445="2",BH445,0)</f>
        <v>0</v>
      </c>
      <c r="AG445" s="28">
        <f>IF(AQ445="2",BI445,0)</f>
        <v>0</v>
      </c>
      <c r="AH445" s="28">
        <f>IF(AQ445="0",BJ445,0)</f>
        <v>0</v>
      </c>
      <c r="AI445" s="56" t="s">
        <v>72</v>
      </c>
      <c r="AJ445" s="60">
        <f>IF(AN445=0,K445,0)</f>
        <v>0</v>
      </c>
      <c r="AK445" s="60">
        <f>IF(AN445=15,K445,0)</f>
        <v>0</v>
      </c>
      <c r="AL445" s="60">
        <f>IF(AN445=21,K445,0)</f>
        <v>0</v>
      </c>
      <c r="AN445" s="28">
        <v>21</v>
      </c>
      <c r="AO445" s="28">
        <f>J445*0</f>
        <v>0</v>
      </c>
      <c r="AP445" s="28">
        <f>J445*(1-0)</f>
        <v>0</v>
      </c>
      <c r="AQ445" s="57" t="s">
        <v>82</v>
      </c>
      <c r="AV445" s="28">
        <f>AW445+AX445</f>
        <v>0</v>
      </c>
      <c r="AW445" s="28">
        <f>I445*AO445</f>
        <v>0</v>
      </c>
      <c r="AX445" s="28">
        <f>I445*AP445</f>
        <v>0</v>
      </c>
      <c r="AY445" s="59" t="s">
        <v>947</v>
      </c>
      <c r="AZ445" s="59" t="s">
        <v>964</v>
      </c>
      <c r="BA445" s="56" t="s">
        <v>966</v>
      </c>
      <c r="BC445" s="28">
        <f>AW445+AX445</f>
        <v>0</v>
      </c>
      <c r="BD445" s="28">
        <f>J445/(100-BE445)*100</f>
        <v>0</v>
      </c>
      <c r="BE445" s="28">
        <v>0</v>
      </c>
      <c r="BF445" s="28">
        <f>445</f>
        <v>445</v>
      </c>
      <c r="BH445" s="60">
        <f>I445*AO445</f>
        <v>0</v>
      </c>
      <c r="BI445" s="60">
        <f>I445*AP445</f>
        <v>0</v>
      </c>
      <c r="BJ445" s="60">
        <f>I445*J445</f>
        <v>0</v>
      </c>
      <c r="BK445" s="60" t="s">
        <v>971</v>
      </c>
      <c r="BL445" s="28">
        <v>95</v>
      </c>
    </row>
    <row r="446" spans="1:64" x14ac:dyDescent="0.25">
      <c r="A446" s="17"/>
      <c r="C446" s="148" t="s">
        <v>530</v>
      </c>
      <c r="D446" s="149"/>
      <c r="E446" s="149"/>
      <c r="F446" s="149"/>
      <c r="G446" s="149"/>
      <c r="I446" s="77">
        <v>0</v>
      </c>
      <c r="L446" s="14"/>
      <c r="M446" s="17"/>
    </row>
    <row r="447" spans="1:64" x14ac:dyDescent="0.25">
      <c r="A447" s="17"/>
      <c r="C447" s="148" t="s">
        <v>829</v>
      </c>
      <c r="D447" s="149"/>
      <c r="E447" s="149"/>
      <c r="F447" s="149"/>
      <c r="G447" s="149"/>
      <c r="I447" s="77">
        <v>5.32</v>
      </c>
      <c r="L447" s="14"/>
      <c r="M447" s="17"/>
    </row>
    <row r="448" spans="1:64" x14ac:dyDescent="0.25">
      <c r="A448" s="17"/>
      <c r="C448" s="148" t="s">
        <v>830</v>
      </c>
      <c r="D448" s="149"/>
      <c r="E448" s="149"/>
      <c r="F448" s="149"/>
      <c r="G448" s="149"/>
      <c r="I448" s="77">
        <v>92.43</v>
      </c>
      <c r="L448" s="14"/>
      <c r="M448" s="17"/>
    </row>
    <row r="449" spans="1:64" x14ac:dyDescent="0.25">
      <c r="A449" s="17"/>
      <c r="C449" s="148" t="s">
        <v>831</v>
      </c>
      <c r="D449" s="149"/>
      <c r="E449" s="149"/>
      <c r="F449" s="149"/>
      <c r="G449" s="149"/>
      <c r="I449" s="77">
        <v>5.55</v>
      </c>
      <c r="L449" s="14"/>
      <c r="M449" s="17"/>
    </row>
    <row r="450" spans="1:64" x14ac:dyDescent="0.25">
      <c r="A450" s="17"/>
      <c r="C450" s="148" t="s">
        <v>832</v>
      </c>
      <c r="D450" s="149"/>
      <c r="E450" s="149"/>
      <c r="F450" s="149"/>
      <c r="G450" s="149"/>
      <c r="I450" s="77">
        <v>63.97</v>
      </c>
      <c r="L450" s="14"/>
      <c r="M450" s="17"/>
    </row>
    <row r="451" spans="1:64" x14ac:dyDescent="0.25">
      <c r="A451" s="17"/>
      <c r="C451" s="148" t="s">
        <v>532</v>
      </c>
      <c r="D451" s="149"/>
      <c r="E451" s="149"/>
      <c r="F451" s="149"/>
      <c r="G451" s="149"/>
      <c r="I451" s="77">
        <v>0</v>
      </c>
      <c r="L451" s="14"/>
      <c r="M451" s="17"/>
    </row>
    <row r="452" spans="1:64" x14ac:dyDescent="0.25">
      <c r="A452" s="17"/>
      <c r="C452" s="148" t="s">
        <v>613</v>
      </c>
      <c r="D452" s="149"/>
      <c r="E452" s="149"/>
      <c r="F452" s="149"/>
      <c r="G452" s="149"/>
      <c r="I452" s="77">
        <v>122.33</v>
      </c>
      <c r="L452" s="14"/>
      <c r="M452" s="17"/>
    </row>
    <row r="453" spans="1:64" x14ac:dyDescent="0.25">
      <c r="A453" s="17"/>
      <c r="C453" s="148" t="s">
        <v>833</v>
      </c>
      <c r="D453" s="149"/>
      <c r="E453" s="149"/>
      <c r="F453" s="149"/>
      <c r="G453" s="149"/>
      <c r="I453" s="77">
        <v>70.42</v>
      </c>
      <c r="L453" s="14"/>
      <c r="M453" s="17"/>
    </row>
    <row r="454" spans="1:64" x14ac:dyDescent="0.25">
      <c r="A454" s="34" t="s">
        <v>238</v>
      </c>
      <c r="B454" s="41" t="s">
        <v>436</v>
      </c>
      <c r="C454" s="146" t="s">
        <v>841</v>
      </c>
      <c r="D454" s="147"/>
      <c r="E454" s="147"/>
      <c r="F454" s="147"/>
      <c r="G454" s="147"/>
      <c r="H454" s="41" t="s">
        <v>891</v>
      </c>
      <c r="I454" s="76">
        <v>360.02</v>
      </c>
      <c r="J454" s="60">
        <v>0</v>
      </c>
      <c r="K454" s="60">
        <f>I454*J454</f>
        <v>0</v>
      </c>
      <c r="L454" s="53" t="s">
        <v>906</v>
      </c>
      <c r="M454" s="17"/>
      <c r="Z454" s="28">
        <f>IF(AQ454="5",BJ454,0)</f>
        <v>0</v>
      </c>
      <c r="AB454" s="28">
        <f>IF(AQ454="1",BH454,0)</f>
        <v>0</v>
      </c>
      <c r="AC454" s="28">
        <f>IF(AQ454="1",BI454,0)</f>
        <v>0</v>
      </c>
      <c r="AD454" s="28">
        <f>IF(AQ454="7",BH454,0)</f>
        <v>0</v>
      </c>
      <c r="AE454" s="28">
        <f>IF(AQ454="7",BI454,0)</f>
        <v>0</v>
      </c>
      <c r="AF454" s="28">
        <f>IF(AQ454="2",BH454,0)</f>
        <v>0</v>
      </c>
      <c r="AG454" s="28">
        <f>IF(AQ454="2",BI454,0)</f>
        <v>0</v>
      </c>
      <c r="AH454" s="28">
        <f>IF(AQ454="0",BJ454,0)</f>
        <v>0</v>
      </c>
      <c r="AI454" s="56" t="s">
        <v>72</v>
      </c>
      <c r="AJ454" s="60">
        <f>IF(AN454=0,K454,0)</f>
        <v>0</v>
      </c>
      <c r="AK454" s="60">
        <f>IF(AN454=15,K454,0)</f>
        <v>0</v>
      </c>
      <c r="AL454" s="60">
        <f>IF(AN454=21,K454,0)</f>
        <v>0</v>
      </c>
      <c r="AN454" s="28">
        <v>21</v>
      </c>
      <c r="AO454" s="28">
        <f>J454*0.0121518901890189</f>
        <v>0</v>
      </c>
      <c r="AP454" s="28">
        <f>J454*(1-0.0121518901890189)</f>
        <v>0</v>
      </c>
      <c r="AQ454" s="57" t="s">
        <v>82</v>
      </c>
      <c r="AV454" s="28">
        <f>AW454+AX454</f>
        <v>0</v>
      </c>
      <c r="AW454" s="28">
        <f>I454*AO454</f>
        <v>0</v>
      </c>
      <c r="AX454" s="28">
        <f>I454*AP454</f>
        <v>0</v>
      </c>
      <c r="AY454" s="59" t="s">
        <v>947</v>
      </c>
      <c r="AZ454" s="59" t="s">
        <v>964</v>
      </c>
      <c r="BA454" s="56" t="s">
        <v>966</v>
      </c>
      <c r="BC454" s="28">
        <f>AW454+AX454</f>
        <v>0</v>
      </c>
      <c r="BD454" s="28">
        <f>J454/(100-BE454)*100</f>
        <v>0</v>
      </c>
      <c r="BE454" s="28">
        <v>0</v>
      </c>
      <c r="BF454" s="28">
        <f>454</f>
        <v>454</v>
      </c>
      <c r="BH454" s="60">
        <f>I454*AO454</f>
        <v>0</v>
      </c>
      <c r="BI454" s="60">
        <f>I454*AP454</f>
        <v>0</v>
      </c>
      <c r="BJ454" s="60">
        <f>I454*J454</f>
        <v>0</v>
      </c>
      <c r="BK454" s="60" t="s">
        <v>971</v>
      </c>
      <c r="BL454" s="28">
        <v>95</v>
      </c>
    </row>
    <row r="455" spans="1:64" x14ac:dyDescent="0.25">
      <c r="A455" s="17"/>
      <c r="C455" s="148" t="s">
        <v>530</v>
      </c>
      <c r="D455" s="149"/>
      <c r="E455" s="149"/>
      <c r="F455" s="149"/>
      <c r="G455" s="149"/>
      <c r="I455" s="77">
        <v>0</v>
      </c>
      <c r="L455" s="14"/>
      <c r="M455" s="17"/>
    </row>
    <row r="456" spans="1:64" x14ac:dyDescent="0.25">
      <c r="A456" s="17"/>
      <c r="C456" s="148" t="s">
        <v>829</v>
      </c>
      <c r="D456" s="149"/>
      <c r="E456" s="149"/>
      <c r="F456" s="149"/>
      <c r="G456" s="149"/>
      <c r="I456" s="77">
        <v>5.32</v>
      </c>
      <c r="L456" s="14"/>
      <c r="M456" s="17"/>
    </row>
    <row r="457" spans="1:64" x14ac:dyDescent="0.25">
      <c r="A457" s="17"/>
      <c r="C457" s="148" t="s">
        <v>830</v>
      </c>
      <c r="D457" s="149"/>
      <c r="E457" s="149"/>
      <c r="F457" s="149"/>
      <c r="G457" s="149"/>
      <c r="I457" s="77">
        <v>92.43</v>
      </c>
      <c r="L457" s="14"/>
      <c r="M457" s="17"/>
    </row>
    <row r="458" spans="1:64" x14ac:dyDescent="0.25">
      <c r="A458" s="17"/>
      <c r="C458" s="148" t="s">
        <v>831</v>
      </c>
      <c r="D458" s="149"/>
      <c r="E458" s="149"/>
      <c r="F458" s="149"/>
      <c r="G458" s="149"/>
      <c r="I458" s="77">
        <v>5.55</v>
      </c>
      <c r="L458" s="14"/>
      <c r="M458" s="17"/>
    </row>
    <row r="459" spans="1:64" x14ac:dyDescent="0.25">
      <c r="A459" s="17"/>
      <c r="C459" s="148" t="s">
        <v>832</v>
      </c>
      <c r="D459" s="149"/>
      <c r="E459" s="149"/>
      <c r="F459" s="149"/>
      <c r="G459" s="149"/>
      <c r="I459" s="77">
        <v>63.97</v>
      </c>
      <c r="L459" s="14"/>
      <c r="M459" s="17"/>
    </row>
    <row r="460" spans="1:64" x14ac:dyDescent="0.25">
      <c r="A460" s="17"/>
      <c r="C460" s="148" t="s">
        <v>532</v>
      </c>
      <c r="D460" s="149"/>
      <c r="E460" s="149"/>
      <c r="F460" s="149"/>
      <c r="G460" s="149"/>
      <c r="I460" s="77">
        <v>0</v>
      </c>
      <c r="L460" s="14"/>
      <c r="M460" s="17"/>
    </row>
    <row r="461" spans="1:64" x14ac:dyDescent="0.25">
      <c r="A461" s="17"/>
      <c r="C461" s="148" t="s">
        <v>613</v>
      </c>
      <c r="D461" s="149"/>
      <c r="E461" s="149"/>
      <c r="F461" s="149"/>
      <c r="G461" s="149"/>
      <c r="I461" s="77">
        <v>122.33</v>
      </c>
      <c r="L461" s="14"/>
      <c r="M461" s="17"/>
    </row>
    <row r="462" spans="1:64" x14ac:dyDescent="0.25">
      <c r="A462" s="17"/>
      <c r="C462" s="148" t="s">
        <v>833</v>
      </c>
      <c r="D462" s="149"/>
      <c r="E462" s="149"/>
      <c r="F462" s="149"/>
      <c r="G462" s="149"/>
      <c r="I462" s="77">
        <v>70.42</v>
      </c>
      <c r="L462" s="14"/>
      <c r="M462" s="17"/>
    </row>
    <row r="463" spans="1:64" x14ac:dyDescent="0.25">
      <c r="A463" s="33"/>
      <c r="B463" s="40" t="s">
        <v>177</v>
      </c>
      <c r="C463" s="144" t="s">
        <v>842</v>
      </c>
      <c r="D463" s="145"/>
      <c r="E463" s="145"/>
      <c r="F463" s="145"/>
      <c r="G463" s="145"/>
      <c r="H463" s="46" t="s">
        <v>58</v>
      </c>
      <c r="I463" s="46" t="s">
        <v>58</v>
      </c>
      <c r="J463" s="46" t="s">
        <v>58</v>
      </c>
      <c r="K463" s="65">
        <f>SUM(K464:K483)</f>
        <v>0</v>
      </c>
      <c r="L463" s="52"/>
      <c r="M463" s="17"/>
      <c r="AI463" s="56" t="s">
        <v>72</v>
      </c>
      <c r="AS463" s="65">
        <f>SUM(AJ464:AJ483)</f>
        <v>0</v>
      </c>
      <c r="AT463" s="65">
        <f>SUM(AK464:AK483)</f>
        <v>0</v>
      </c>
      <c r="AU463" s="65">
        <f>SUM(AL464:AL483)</f>
        <v>0</v>
      </c>
    </row>
    <row r="464" spans="1:64" x14ac:dyDescent="0.25">
      <c r="A464" s="34" t="s">
        <v>239</v>
      </c>
      <c r="B464" s="41" t="s">
        <v>437</v>
      </c>
      <c r="C464" s="146" t="s">
        <v>843</v>
      </c>
      <c r="D464" s="147"/>
      <c r="E464" s="147"/>
      <c r="F464" s="147"/>
      <c r="G464" s="147"/>
      <c r="H464" s="41" t="s">
        <v>895</v>
      </c>
      <c r="I464" s="76">
        <v>5.25</v>
      </c>
      <c r="J464" s="60">
        <v>0</v>
      </c>
      <c r="K464" s="60">
        <f>I464*J464</f>
        <v>0</v>
      </c>
      <c r="L464" s="53" t="s">
        <v>906</v>
      </c>
      <c r="M464" s="17"/>
      <c r="Z464" s="28">
        <f>IF(AQ464="5",BJ464,0)</f>
        <v>0</v>
      </c>
      <c r="AB464" s="28">
        <f>IF(AQ464="1",BH464,0)</f>
        <v>0</v>
      </c>
      <c r="AC464" s="28">
        <f>IF(AQ464="1",BI464,0)</f>
        <v>0</v>
      </c>
      <c r="AD464" s="28">
        <f>IF(AQ464="7",BH464,0)</f>
        <v>0</v>
      </c>
      <c r="AE464" s="28">
        <f>IF(AQ464="7",BI464,0)</f>
        <v>0</v>
      </c>
      <c r="AF464" s="28">
        <f>IF(AQ464="2",BH464,0)</f>
        <v>0</v>
      </c>
      <c r="AG464" s="28">
        <f>IF(AQ464="2",BI464,0)</f>
        <v>0</v>
      </c>
      <c r="AH464" s="28">
        <f>IF(AQ464="0",BJ464,0)</f>
        <v>0</v>
      </c>
      <c r="AI464" s="56" t="s">
        <v>72</v>
      </c>
      <c r="AJ464" s="60">
        <f>IF(AN464=0,K464,0)</f>
        <v>0</v>
      </c>
      <c r="AK464" s="60">
        <f>IF(AN464=15,K464,0)</f>
        <v>0</v>
      </c>
      <c r="AL464" s="60">
        <f>IF(AN464=21,K464,0)</f>
        <v>0</v>
      </c>
      <c r="AN464" s="28">
        <v>21</v>
      </c>
      <c r="AO464" s="28">
        <f>J464*0</f>
        <v>0</v>
      </c>
      <c r="AP464" s="28">
        <f>J464*(1-0)</f>
        <v>0</v>
      </c>
      <c r="AQ464" s="57" t="s">
        <v>82</v>
      </c>
      <c r="AV464" s="28">
        <f>AW464+AX464</f>
        <v>0</v>
      </c>
      <c r="AW464" s="28">
        <f>I464*AO464</f>
        <v>0</v>
      </c>
      <c r="AX464" s="28">
        <f>I464*AP464</f>
        <v>0</v>
      </c>
      <c r="AY464" s="59" t="s">
        <v>948</v>
      </c>
      <c r="AZ464" s="59" t="s">
        <v>964</v>
      </c>
      <c r="BA464" s="56" t="s">
        <v>966</v>
      </c>
      <c r="BC464" s="28">
        <f>AW464+AX464</f>
        <v>0</v>
      </c>
      <c r="BD464" s="28">
        <f>J464/(100-BE464)*100</f>
        <v>0</v>
      </c>
      <c r="BE464" s="28">
        <v>0</v>
      </c>
      <c r="BF464" s="28">
        <f>464</f>
        <v>464</v>
      </c>
      <c r="BH464" s="60">
        <f>I464*AO464</f>
        <v>0</v>
      </c>
      <c r="BI464" s="60">
        <f>I464*AP464</f>
        <v>0</v>
      </c>
      <c r="BJ464" s="60">
        <f>I464*J464</f>
        <v>0</v>
      </c>
      <c r="BK464" s="60" t="s">
        <v>971</v>
      </c>
      <c r="BL464" s="28">
        <v>96</v>
      </c>
    </row>
    <row r="465" spans="1:64" x14ac:dyDescent="0.25">
      <c r="A465" s="17"/>
      <c r="C465" s="148" t="s">
        <v>844</v>
      </c>
      <c r="D465" s="149"/>
      <c r="E465" s="149"/>
      <c r="F465" s="149"/>
      <c r="G465" s="149"/>
      <c r="I465" s="77">
        <v>5.25</v>
      </c>
      <c r="L465" s="14"/>
      <c r="M465" s="17"/>
    </row>
    <row r="466" spans="1:64" x14ac:dyDescent="0.25">
      <c r="A466" s="34" t="s">
        <v>240</v>
      </c>
      <c r="B466" s="41" t="s">
        <v>438</v>
      </c>
      <c r="C466" s="146" t="s">
        <v>845</v>
      </c>
      <c r="D466" s="147"/>
      <c r="E466" s="147"/>
      <c r="F466" s="147"/>
      <c r="G466" s="147"/>
      <c r="H466" s="41" t="s">
        <v>892</v>
      </c>
      <c r="I466" s="76">
        <v>3.6859999999999999</v>
      </c>
      <c r="J466" s="60">
        <v>0</v>
      </c>
      <c r="K466" s="60">
        <f>I466*J466</f>
        <v>0</v>
      </c>
      <c r="L466" s="53" t="s">
        <v>906</v>
      </c>
      <c r="M466" s="17"/>
      <c r="Z466" s="28">
        <f>IF(AQ466="5",BJ466,0)</f>
        <v>0</v>
      </c>
      <c r="AB466" s="28">
        <f>IF(AQ466="1",BH466,0)</f>
        <v>0</v>
      </c>
      <c r="AC466" s="28">
        <f>IF(AQ466="1",BI466,0)</f>
        <v>0</v>
      </c>
      <c r="AD466" s="28">
        <f>IF(AQ466="7",BH466,0)</f>
        <v>0</v>
      </c>
      <c r="AE466" s="28">
        <f>IF(AQ466="7",BI466,0)</f>
        <v>0</v>
      </c>
      <c r="AF466" s="28">
        <f>IF(AQ466="2",BH466,0)</f>
        <v>0</v>
      </c>
      <c r="AG466" s="28">
        <f>IF(AQ466="2",BI466,0)</f>
        <v>0</v>
      </c>
      <c r="AH466" s="28">
        <f>IF(AQ466="0",BJ466,0)</f>
        <v>0</v>
      </c>
      <c r="AI466" s="56" t="s">
        <v>72</v>
      </c>
      <c r="AJ466" s="60">
        <f>IF(AN466=0,K466,0)</f>
        <v>0</v>
      </c>
      <c r="AK466" s="60">
        <f>IF(AN466=15,K466,0)</f>
        <v>0</v>
      </c>
      <c r="AL466" s="60">
        <f>IF(AN466=21,K466,0)</f>
        <v>0</v>
      </c>
      <c r="AN466" s="28">
        <v>21</v>
      </c>
      <c r="AO466" s="28">
        <f>J466*0</f>
        <v>0</v>
      </c>
      <c r="AP466" s="28">
        <f>J466*(1-0)</f>
        <v>0</v>
      </c>
      <c r="AQ466" s="57" t="s">
        <v>82</v>
      </c>
      <c r="AV466" s="28">
        <f>AW466+AX466</f>
        <v>0</v>
      </c>
      <c r="AW466" s="28">
        <f>I466*AO466</f>
        <v>0</v>
      </c>
      <c r="AX466" s="28">
        <f>I466*AP466</f>
        <v>0</v>
      </c>
      <c r="AY466" s="59" t="s">
        <v>948</v>
      </c>
      <c r="AZ466" s="59" t="s">
        <v>964</v>
      </c>
      <c r="BA466" s="56" t="s">
        <v>966</v>
      </c>
      <c r="BC466" s="28">
        <f>AW466+AX466</f>
        <v>0</v>
      </c>
      <c r="BD466" s="28">
        <f>J466/(100-BE466)*100</f>
        <v>0</v>
      </c>
      <c r="BE466" s="28">
        <v>0</v>
      </c>
      <c r="BF466" s="28">
        <f>466</f>
        <v>466</v>
      </c>
      <c r="BH466" s="60">
        <f>I466*AO466</f>
        <v>0</v>
      </c>
      <c r="BI466" s="60">
        <f>I466*AP466</f>
        <v>0</v>
      </c>
      <c r="BJ466" s="60">
        <f>I466*J466</f>
        <v>0</v>
      </c>
      <c r="BK466" s="60" t="s">
        <v>971</v>
      </c>
      <c r="BL466" s="28">
        <v>96</v>
      </c>
    </row>
    <row r="467" spans="1:64" x14ac:dyDescent="0.25">
      <c r="A467" s="17"/>
      <c r="C467" s="148" t="s">
        <v>846</v>
      </c>
      <c r="D467" s="149"/>
      <c r="E467" s="149"/>
      <c r="F467" s="149"/>
      <c r="G467" s="149"/>
      <c r="I467" s="77">
        <v>3.6859999999999999</v>
      </c>
      <c r="L467" s="14"/>
      <c r="M467" s="17"/>
    </row>
    <row r="468" spans="1:64" x14ac:dyDescent="0.25">
      <c r="A468" s="34" t="s">
        <v>241</v>
      </c>
      <c r="B468" s="41" t="s">
        <v>439</v>
      </c>
      <c r="C468" s="146" t="s">
        <v>847</v>
      </c>
      <c r="D468" s="147"/>
      <c r="E468" s="147"/>
      <c r="F468" s="147"/>
      <c r="G468" s="147"/>
      <c r="H468" s="41" t="s">
        <v>892</v>
      </c>
      <c r="I468" s="76">
        <v>16.390999999999998</v>
      </c>
      <c r="J468" s="60">
        <v>0</v>
      </c>
      <c r="K468" s="60">
        <f>I468*J468</f>
        <v>0</v>
      </c>
      <c r="L468" s="53" t="s">
        <v>906</v>
      </c>
      <c r="M468" s="17"/>
      <c r="Z468" s="28">
        <f>IF(AQ468="5",BJ468,0)</f>
        <v>0</v>
      </c>
      <c r="AB468" s="28">
        <f>IF(AQ468="1",BH468,0)</f>
        <v>0</v>
      </c>
      <c r="AC468" s="28">
        <f>IF(AQ468="1",BI468,0)</f>
        <v>0</v>
      </c>
      <c r="AD468" s="28">
        <f>IF(AQ468="7",BH468,0)</f>
        <v>0</v>
      </c>
      <c r="AE468" s="28">
        <f>IF(AQ468="7",BI468,0)</f>
        <v>0</v>
      </c>
      <c r="AF468" s="28">
        <f>IF(AQ468="2",BH468,0)</f>
        <v>0</v>
      </c>
      <c r="AG468" s="28">
        <f>IF(AQ468="2",BI468,0)</f>
        <v>0</v>
      </c>
      <c r="AH468" s="28">
        <f>IF(AQ468="0",BJ468,0)</f>
        <v>0</v>
      </c>
      <c r="AI468" s="56" t="s">
        <v>72</v>
      </c>
      <c r="AJ468" s="60">
        <f>IF(AN468=0,K468,0)</f>
        <v>0</v>
      </c>
      <c r="AK468" s="60">
        <f>IF(AN468=15,K468,0)</f>
        <v>0</v>
      </c>
      <c r="AL468" s="60">
        <f>IF(AN468=21,K468,0)</f>
        <v>0</v>
      </c>
      <c r="AN468" s="28">
        <v>21</v>
      </c>
      <c r="AO468" s="28">
        <f>J468*0.0315138259705825</f>
        <v>0</v>
      </c>
      <c r="AP468" s="28">
        <f>J468*(1-0.0315138259705825)</f>
        <v>0</v>
      </c>
      <c r="AQ468" s="57" t="s">
        <v>82</v>
      </c>
      <c r="AV468" s="28">
        <f>AW468+AX468</f>
        <v>0</v>
      </c>
      <c r="AW468" s="28">
        <f>I468*AO468</f>
        <v>0</v>
      </c>
      <c r="AX468" s="28">
        <f>I468*AP468</f>
        <v>0</v>
      </c>
      <c r="AY468" s="59" t="s">
        <v>948</v>
      </c>
      <c r="AZ468" s="59" t="s">
        <v>964</v>
      </c>
      <c r="BA468" s="56" t="s">
        <v>966</v>
      </c>
      <c r="BC468" s="28">
        <f>AW468+AX468</f>
        <v>0</v>
      </c>
      <c r="BD468" s="28">
        <f>J468/(100-BE468)*100</f>
        <v>0</v>
      </c>
      <c r="BE468" s="28">
        <v>0</v>
      </c>
      <c r="BF468" s="28">
        <f>468</f>
        <v>468</v>
      </c>
      <c r="BH468" s="60">
        <f>I468*AO468</f>
        <v>0</v>
      </c>
      <c r="BI468" s="60">
        <f>I468*AP468</f>
        <v>0</v>
      </c>
      <c r="BJ468" s="60">
        <f>I468*J468</f>
        <v>0</v>
      </c>
      <c r="BK468" s="60" t="s">
        <v>971</v>
      </c>
      <c r="BL468" s="28">
        <v>96</v>
      </c>
    </row>
    <row r="469" spans="1:64" x14ac:dyDescent="0.25">
      <c r="A469" s="17"/>
      <c r="C469" s="148" t="s">
        <v>848</v>
      </c>
      <c r="D469" s="149"/>
      <c r="E469" s="149"/>
      <c r="F469" s="149"/>
      <c r="G469" s="149"/>
      <c r="I469" s="77">
        <v>2.7629999999999999</v>
      </c>
      <c r="L469" s="14"/>
      <c r="M469" s="17"/>
    </row>
    <row r="470" spans="1:64" x14ac:dyDescent="0.25">
      <c r="A470" s="17"/>
      <c r="C470" s="148" t="s">
        <v>849</v>
      </c>
      <c r="D470" s="149"/>
      <c r="E470" s="149"/>
      <c r="F470" s="149"/>
      <c r="G470" s="149"/>
      <c r="I470" s="77">
        <v>1.913</v>
      </c>
      <c r="L470" s="14"/>
      <c r="M470" s="17"/>
    </row>
    <row r="471" spans="1:64" x14ac:dyDescent="0.25">
      <c r="A471" s="17"/>
      <c r="C471" s="148" t="s">
        <v>850</v>
      </c>
      <c r="D471" s="149"/>
      <c r="E471" s="149"/>
      <c r="F471" s="149"/>
      <c r="G471" s="149"/>
      <c r="I471" s="77">
        <v>0.495</v>
      </c>
      <c r="L471" s="14"/>
      <c r="M471" s="17"/>
    </row>
    <row r="472" spans="1:64" x14ac:dyDescent="0.25">
      <c r="A472" s="17"/>
      <c r="C472" s="148" t="s">
        <v>851</v>
      </c>
      <c r="D472" s="149"/>
      <c r="E472" s="149"/>
      <c r="F472" s="149"/>
      <c r="G472" s="149"/>
      <c r="I472" s="77">
        <v>0.50600000000000001</v>
      </c>
      <c r="L472" s="14"/>
      <c r="M472" s="17"/>
    </row>
    <row r="473" spans="1:64" x14ac:dyDescent="0.25">
      <c r="A473" s="17"/>
      <c r="C473" s="148" t="s">
        <v>852</v>
      </c>
      <c r="D473" s="149"/>
      <c r="E473" s="149"/>
      <c r="F473" s="149"/>
      <c r="G473" s="149"/>
      <c r="I473" s="77">
        <v>1.1479999999999999</v>
      </c>
      <c r="L473" s="14"/>
      <c r="M473" s="17"/>
    </row>
    <row r="474" spans="1:64" x14ac:dyDescent="0.25">
      <c r="A474" s="17"/>
      <c r="C474" s="148" t="s">
        <v>853</v>
      </c>
      <c r="D474" s="149"/>
      <c r="E474" s="149"/>
      <c r="F474" s="149"/>
      <c r="G474" s="149"/>
      <c r="I474" s="77">
        <v>0.56599999999999995</v>
      </c>
      <c r="L474" s="14"/>
      <c r="M474" s="17"/>
    </row>
    <row r="475" spans="1:64" x14ac:dyDescent="0.25">
      <c r="A475" s="17"/>
      <c r="C475" s="148" t="s">
        <v>854</v>
      </c>
      <c r="D475" s="149"/>
      <c r="E475" s="149"/>
      <c r="F475" s="149"/>
      <c r="G475" s="149"/>
      <c r="I475" s="77">
        <v>1.08</v>
      </c>
      <c r="L475" s="14"/>
      <c r="M475" s="17"/>
    </row>
    <row r="476" spans="1:64" x14ac:dyDescent="0.25">
      <c r="A476" s="17"/>
      <c r="C476" s="148" t="s">
        <v>855</v>
      </c>
      <c r="D476" s="149"/>
      <c r="E476" s="149"/>
      <c r="F476" s="149"/>
      <c r="G476" s="149"/>
      <c r="I476" s="77">
        <v>7.68</v>
      </c>
      <c r="L476" s="14"/>
      <c r="M476" s="17"/>
    </row>
    <row r="477" spans="1:64" x14ac:dyDescent="0.25">
      <c r="A477" s="17"/>
      <c r="C477" s="148" t="s">
        <v>856</v>
      </c>
      <c r="D477" s="149"/>
      <c r="E477" s="149"/>
      <c r="F477" s="149"/>
      <c r="G477" s="149"/>
      <c r="I477" s="77">
        <v>0.24</v>
      </c>
      <c r="L477" s="14"/>
      <c r="M477" s="17"/>
    </row>
    <row r="478" spans="1:64" x14ac:dyDescent="0.25">
      <c r="A478" s="34" t="s">
        <v>242</v>
      </c>
      <c r="B478" s="41" t="s">
        <v>440</v>
      </c>
      <c r="C478" s="146" t="s">
        <v>857</v>
      </c>
      <c r="D478" s="147"/>
      <c r="E478" s="147"/>
      <c r="F478" s="147"/>
      <c r="G478" s="147"/>
      <c r="H478" s="41" t="s">
        <v>892</v>
      </c>
      <c r="I478" s="76">
        <v>86.33</v>
      </c>
      <c r="J478" s="60">
        <v>0</v>
      </c>
      <c r="K478" s="60">
        <f>I478*J478</f>
        <v>0</v>
      </c>
      <c r="L478" s="53" t="s">
        <v>906</v>
      </c>
      <c r="M478" s="17"/>
      <c r="Z478" s="28">
        <f>IF(AQ478="5",BJ478,0)</f>
        <v>0</v>
      </c>
      <c r="AB478" s="28">
        <f>IF(AQ478="1",BH478,0)</f>
        <v>0</v>
      </c>
      <c r="AC478" s="28">
        <f>IF(AQ478="1",BI478,0)</f>
        <v>0</v>
      </c>
      <c r="AD478" s="28">
        <f>IF(AQ478="7",BH478,0)</f>
        <v>0</v>
      </c>
      <c r="AE478" s="28">
        <f>IF(AQ478="7",BI478,0)</f>
        <v>0</v>
      </c>
      <c r="AF478" s="28">
        <f>IF(AQ478="2",BH478,0)</f>
        <v>0</v>
      </c>
      <c r="AG478" s="28">
        <f>IF(AQ478="2",BI478,0)</f>
        <v>0</v>
      </c>
      <c r="AH478" s="28">
        <f>IF(AQ478="0",BJ478,0)</f>
        <v>0</v>
      </c>
      <c r="AI478" s="56" t="s">
        <v>72</v>
      </c>
      <c r="AJ478" s="60">
        <f>IF(AN478=0,K478,0)</f>
        <v>0</v>
      </c>
      <c r="AK478" s="60">
        <f>IF(AN478=15,K478,0)</f>
        <v>0</v>
      </c>
      <c r="AL478" s="60">
        <f>IF(AN478=21,K478,0)</f>
        <v>0</v>
      </c>
      <c r="AN478" s="28">
        <v>21</v>
      </c>
      <c r="AO478" s="28">
        <f>J478*0</f>
        <v>0</v>
      </c>
      <c r="AP478" s="28">
        <f>J478*(1-0)</f>
        <v>0</v>
      </c>
      <c r="AQ478" s="57" t="s">
        <v>82</v>
      </c>
      <c r="AV478" s="28">
        <f>AW478+AX478</f>
        <v>0</v>
      </c>
      <c r="AW478" s="28">
        <f>I478*AO478</f>
        <v>0</v>
      </c>
      <c r="AX478" s="28">
        <f>I478*AP478</f>
        <v>0</v>
      </c>
      <c r="AY478" s="59" t="s">
        <v>948</v>
      </c>
      <c r="AZ478" s="59" t="s">
        <v>964</v>
      </c>
      <c r="BA478" s="56" t="s">
        <v>966</v>
      </c>
      <c r="BC478" s="28">
        <f>AW478+AX478</f>
        <v>0</v>
      </c>
      <c r="BD478" s="28">
        <f>J478/(100-BE478)*100</f>
        <v>0</v>
      </c>
      <c r="BE478" s="28">
        <v>0</v>
      </c>
      <c r="BF478" s="28">
        <f>478</f>
        <v>478</v>
      </c>
      <c r="BH478" s="60">
        <f>I478*AO478</f>
        <v>0</v>
      </c>
      <c r="BI478" s="60">
        <f>I478*AP478</f>
        <v>0</v>
      </c>
      <c r="BJ478" s="60">
        <f>I478*J478</f>
        <v>0</v>
      </c>
      <c r="BK478" s="60" t="s">
        <v>971</v>
      </c>
      <c r="BL478" s="28">
        <v>96</v>
      </c>
    </row>
    <row r="479" spans="1:64" x14ac:dyDescent="0.25">
      <c r="A479" s="17"/>
      <c r="C479" s="148" t="s">
        <v>858</v>
      </c>
      <c r="D479" s="149"/>
      <c r="E479" s="149"/>
      <c r="F479" s="149"/>
      <c r="G479" s="149"/>
      <c r="I479" s="77">
        <v>86.33</v>
      </c>
      <c r="L479" s="14"/>
      <c r="M479" s="17"/>
    </row>
    <row r="480" spans="1:64" x14ac:dyDescent="0.25">
      <c r="A480" s="34" t="s">
        <v>243</v>
      </c>
      <c r="B480" s="41" t="s">
        <v>441</v>
      </c>
      <c r="C480" s="146" t="s">
        <v>859</v>
      </c>
      <c r="D480" s="147"/>
      <c r="E480" s="147"/>
      <c r="F480" s="147"/>
      <c r="G480" s="147"/>
      <c r="H480" s="41" t="s">
        <v>892</v>
      </c>
      <c r="I480" s="76">
        <v>183.76</v>
      </c>
      <c r="J480" s="60">
        <v>0</v>
      </c>
      <c r="K480" s="60">
        <f>I480*J480</f>
        <v>0</v>
      </c>
      <c r="L480" s="53" t="s">
        <v>906</v>
      </c>
      <c r="M480" s="17"/>
      <c r="Z480" s="28">
        <f>IF(AQ480="5",BJ480,0)</f>
        <v>0</v>
      </c>
      <c r="AB480" s="28">
        <f>IF(AQ480="1",BH480,0)</f>
        <v>0</v>
      </c>
      <c r="AC480" s="28">
        <f>IF(AQ480="1",BI480,0)</f>
        <v>0</v>
      </c>
      <c r="AD480" s="28">
        <f>IF(AQ480="7",BH480,0)</f>
        <v>0</v>
      </c>
      <c r="AE480" s="28">
        <f>IF(AQ480="7",BI480,0)</f>
        <v>0</v>
      </c>
      <c r="AF480" s="28">
        <f>IF(AQ480="2",BH480,0)</f>
        <v>0</v>
      </c>
      <c r="AG480" s="28">
        <f>IF(AQ480="2",BI480,0)</f>
        <v>0</v>
      </c>
      <c r="AH480" s="28">
        <f>IF(AQ480="0",BJ480,0)</f>
        <v>0</v>
      </c>
      <c r="AI480" s="56" t="s">
        <v>72</v>
      </c>
      <c r="AJ480" s="60">
        <f>IF(AN480=0,K480,0)</f>
        <v>0</v>
      </c>
      <c r="AK480" s="60">
        <f>IF(AN480=15,K480,0)</f>
        <v>0</v>
      </c>
      <c r="AL480" s="60">
        <f>IF(AN480=21,K480,0)</f>
        <v>0</v>
      </c>
      <c r="AN480" s="28">
        <v>21</v>
      </c>
      <c r="AO480" s="28">
        <f>J480*0</f>
        <v>0</v>
      </c>
      <c r="AP480" s="28">
        <f>J480*(1-0)</f>
        <v>0</v>
      </c>
      <c r="AQ480" s="57" t="s">
        <v>82</v>
      </c>
      <c r="AV480" s="28">
        <f>AW480+AX480</f>
        <v>0</v>
      </c>
      <c r="AW480" s="28">
        <f>I480*AO480</f>
        <v>0</v>
      </c>
      <c r="AX480" s="28">
        <f>I480*AP480</f>
        <v>0</v>
      </c>
      <c r="AY480" s="59" t="s">
        <v>948</v>
      </c>
      <c r="AZ480" s="59" t="s">
        <v>964</v>
      </c>
      <c r="BA480" s="56" t="s">
        <v>966</v>
      </c>
      <c r="BC480" s="28">
        <f>AW480+AX480</f>
        <v>0</v>
      </c>
      <c r="BD480" s="28">
        <f>J480/(100-BE480)*100</f>
        <v>0</v>
      </c>
      <c r="BE480" s="28">
        <v>0</v>
      </c>
      <c r="BF480" s="28">
        <f>480</f>
        <v>480</v>
      </c>
      <c r="BH480" s="60">
        <f>I480*AO480</f>
        <v>0</v>
      </c>
      <c r="BI480" s="60">
        <f>I480*AP480</f>
        <v>0</v>
      </c>
      <c r="BJ480" s="60">
        <f>I480*J480</f>
        <v>0</v>
      </c>
      <c r="BK480" s="60" t="s">
        <v>971</v>
      </c>
      <c r="BL480" s="28">
        <v>96</v>
      </c>
    </row>
    <row r="481" spans="1:64" x14ac:dyDescent="0.25">
      <c r="A481" s="17"/>
      <c r="B481" s="42" t="s">
        <v>265</v>
      </c>
      <c r="C481" s="150" t="s">
        <v>860</v>
      </c>
      <c r="D481" s="151"/>
      <c r="E481" s="151"/>
      <c r="F481" s="151"/>
      <c r="G481" s="151"/>
      <c r="H481" s="151"/>
      <c r="I481" s="151"/>
      <c r="J481" s="151"/>
      <c r="K481" s="151"/>
      <c r="L481" s="152"/>
      <c r="M481" s="17"/>
    </row>
    <row r="482" spans="1:64" x14ac:dyDescent="0.25">
      <c r="A482" s="17"/>
      <c r="C482" s="148" t="s">
        <v>861</v>
      </c>
      <c r="D482" s="149"/>
      <c r="E482" s="149"/>
      <c r="F482" s="149"/>
      <c r="G482" s="149"/>
      <c r="I482" s="77">
        <v>183.76</v>
      </c>
      <c r="L482" s="14"/>
      <c r="M482" s="17"/>
    </row>
    <row r="483" spans="1:64" x14ac:dyDescent="0.25">
      <c r="A483" s="34" t="s">
        <v>244</v>
      </c>
      <c r="B483" s="41" t="s">
        <v>442</v>
      </c>
      <c r="C483" s="146" t="s">
        <v>862</v>
      </c>
      <c r="D483" s="147"/>
      <c r="E483" s="147"/>
      <c r="F483" s="147"/>
      <c r="G483" s="147"/>
      <c r="H483" s="41" t="s">
        <v>891</v>
      </c>
      <c r="I483" s="76">
        <v>76.930000000000007</v>
      </c>
      <c r="J483" s="60">
        <v>0</v>
      </c>
      <c r="K483" s="60">
        <f>I483*J483</f>
        <v>0</v>
      </c>
      <c r="L483" s="53" t="s">
        <v>906</v>
      </c>
      <c r="M483" s="17"/>
      <c r="Z483" s="28">
        <f>IF(AQ483="5",BJ483,0)</f>
        <v>0</v>
      </c>
      <c r="AB483" s="28">
        <f>IF(AQ483="1",BH483,0)</f>
        <v>0</v>
      </c>
      <c r="AC483" s="28">
        <f>IF(AQ483="1",BI483,0)</f>
        <v>0</v>
      </c>
      <c r="AD483" s="28">
        <f>IF(AQ483="7",BH483,0)</f>
        <v>0</v>
      </c>
      <c r="AE483" s="28">
        <f>IF(AQ483="7",BI483,0)</f>
        <v>0</v>
      </c>
      <c r="AF483" s="28">
        <f>IF(AQ483="2",BH483,0)</f>
        <v>0</v>
      </c>
      <c r="AG483" s="28">
        <f>IF(AQ483="2",BI483,0)</f>
        <v>0</v>
      </c>
      <c r="AH483" s="28">
        <f>IF(AQ483="0",BJ483,0)</f>
        <v>0</v>
      </c>
      <c r="AI483" s="56" t="s">
        <v>72</v>
      </c>
      <c r="AJ483" s="60">
        <f>IF(AN483=0,K483,0)</f>
        <v>0</v>
      </c>
      <c r="AK483" s="60">
        <f>IF(AN483=15,K483,0)</f>
        <v>0</v>
      </c>
      <c r="AL483" s="60">
        <f>IF(AN483=21,K483,0)</f>
        <v>0</v>
      </c>
      <c r="AN483" s="28">
        <v>21</v>
      </c>
      <c r="AO483" s="28">
        <f>J483*0.051375</f>
        <v>0</v>
      </c>
      <c r="AP483" s="28">
        <f>J483*(1-0.051375)</f>
        <v>0</v>
      </c>
      <c r="AQ483" s="57" t="s">
        <v>82</v>
      </c>
      <c r="AV483" s="28">
        <f>AW483+AX483</f>
        <v>0</v>
      </c>
      <c r="AW483" s="28">
        <f>I483*AO483</f>
        <v>0</v>
      </c>
      <c r="AX483" s="28">
        <f>I483*AP483</f>
        <v>0</v>
      </c>
      <c r="AY483" s="59" t="s">
        <v>948</v>
      </c>
      <c r="AZ483" s="59" t="s">
        <v>964</v>
      </c>
      <c r="BA483" s="56" t="s">
        <v>966</v>
      </c>
      <c r="BC483" s="28">
        <f>AW483+AX483</f>
        <v>0</v>
      </c>
      <c r="BD483" s="28">
        <f>J483/(100-BE483)*100</f>
        <v>0</v>
      </c>
      <c r="BE483" s="28">
        <v>0</v>
      </c>
      <c r="BF483" s="28">
        <f>483</f>
        <v>483</v>
      </c>
      <c r="BH483" s="60">
        <f>I483*AO483</f>
        <v>0</v>
      </c>
      <c r="BI483" s="60">
        <f>I483*AP483</f>
        <v>0</v>
      </c>
      <c r="BJ483" s="60">
        <f>I483*J483</f>
        <v>0</v>
      </c>
      <c r="BK483" s="60" t="s">
        <v>971</v>
      </c>
      <c r="BL483" s="28">
        <v>96</v>
      </c>
    </row>
    <row r="484" spans="1:64" x14ac:dyDescent="0.25">
      <c r="A484" s="17"/>
      <c r="C484" s="148" t="s">
        <v>863</v>
      </c>
      <c r="D484" s="149"/>
      <c r="E484" s="149"/>
      <c r="F484" s="149"/>
      <c r="G484" s="149"/>
      <c r="I484" s="77">
        <v>76.930000000000007</v>
      </c>
      <c r="L484" s="14"/>
      <c r="M484" s="17"/>
    </row>
    <row r="485" spans="1:64" x14ac:dyDescent="0.25">
      <c r="A485" s="33"/>
      <c r="B485" s="40" t="s">
        <v>178</v>
      </c>
      <c r="C485" s="144" t="s">
        <v>864</v>
      </c>
      <c r="D485" s="145"/>
      <c r="E485" s="145"/>
      <c r="F485" s="145"/>
      <c r="G485" s="145"/>
      <c r="H485" s="46" t="s">
        <v>58</v>
      </c>
      <c r="I485" s="46" t="s">
        <v>58</v>
      </c>
      <c r="J485" s="46" t="s">
        <v>58</v>
      </c>
      <c r="K485" s="65">
        <f>SUM(K486:K498)</f>
        <v>0</v>
      </c>
      <c r="L485" s="52"/>
      <c r="M485" s="17"/>
      <c r="AI485" s="56" t="s">
        <v>72</v>
      </c>
      <c r="AS485" s="65">
        <f>SUM(AJ486:AJ498)</f>
        <v>0</v>
      </c>
      <c r="AT485" s="65">
        <f>SUM(AK486:AK498)</f>
        <v>0</v>
      </c>
      <c r="AU485" s="65">
        <f>SUM(AL486:AL498)</f>
        <v>0</v>
      </c>
    </row>
    <row r="486" spans="1:64" x14ac:dyDescent="0.25">
      <c r="A486" s="34" t="s">
        <v>245</v>
      </c>
      <c r="B486" s="41" t="s">
        <v>443</v>
      </c>
      <c r="C486" s="146" t="s">
        <v>865</v>
      </c>
      <c r="D486" s="147"/>
      <c r="E486" s="147"/>
      <c r="F486" s="147"/>
      <c r="G486" s="147"/>
      <c r="H486" s="41" t="s">
        <v>891</v>
      </c>
      <c r="I486" s="76">
        <v>178.69</v>
      </c>
      <c r="J486" s="60">
        <v>0</v>
      </c>
      <c r="K486" s="60">
        <f>I486*J486</f>
        <v>0</v>
      </c>
      <c r="L486" s="53" t="s">
        <v>906</v>
      </c>
      <c r="M486" s="17"/>
      <c r="Z486" s="28">
        <f>IF(AQ486="5",BJ486,0)</f>
        <v>0</v>
      </c>
      <c r="AB486" s="28">
        <f>IF(AQ486="1",BH486,0)</f>
        <v>0</v>
      </c>
      <c r="AC486" s="28">
        <f>IF(AQ486="1",BI486,0)</f>
        <v>0</v>
      </c>
      <c r="AD486" s="28">
        <f>IF(AQ486="7",BH486,0)</f>
        <v>0</v>
      </c>
      <c r="AE486" s="28">
        <f>IF(AQ486="7",BI486,0)</f>
        <v>0</v>
      </c>
      <c r="AF486" s="28">
        <f>IF(AQ486="2",BH486,0)</f>
        <v>0</v>
      </c>
      <c r="AG486" s="28">
        <f>IF(AQ486="2",BI486,0)</f>
        <v>0</v>
      </c>
      <c r="AH486" s="28">
        <f>IF(AQ486="0",BJ486,0)</f>
        <v>0</v>
      </c>
      <c r="AI486" s="56" t="s">
        <v>72</v>
      </c>
      <c r="AJ486" s="60">
        <f>IF(AN486=0,K486,0)</f>
        <v>0</v>
      </c>
      <c r="AK486" s="60">
        <f>IF(AN486=15,K486,0)</f>
        <v>0</v>
      </c>
      <c r="AL486" s="60">
        <f>IF(AN486=21,K486,0)</f>
        <v>0</v>
      </c>
      <c r="AN486" s="28">
        <v>21</v>
      </c>
      <c r="AO486" s="28">
        <f>J486*0</f>
        <v>0</v>
      </c>
      <c r="AP486" s="28">
        <f>J486*(1-0)</f>
        <v>0</v>
      </c>
      <c r="AQ486" s="57" t="s">
        <v>82</v>
      </c>
      <c r="AV486" s="28">
        <f>AW486+AX486</f>
        <v>0</v>
      </c>
      <c r="AW486" s="28">
        <f>I486*AO486</f>
        <v>0</v>
      </c>
      <c r="AX486" s="28">
        <f>I486*AP486</f>
        <v>0</v>
      </c>
      <c r="AY486" s="59" t="s">
        <v>949</v>
      </c>
      <c r="AZ486" s="59" t="s">
        <v>964</v>
      </c>
      <c r="BA486" s="56" t="s">
        <v>966</v>
      </c>
      <c r="BC486" s="28">
        <f>AW486+AX486</f>
        <v>0</v>
      </c>
      <c r="BD486" s="28">
        <f>J486/(100-BE486)*100</f>
        <v>0</v>
      </c>
      <c r="BE486" s="28">
        <v>0</v>
      </c>
      <c r="BF486" s="28">
        <f>486</f>
        <v>486</v>
      </c>
      <c r="BH486" s="60">
        <f>I486*AO486</f>
        <v>0</v>
      </c>
      <c r="BI486" s="60">
        <f>I486*AP486</f>
        <v>0</v>
      </c>
      <c r="BJ486" s="60">
        <f>I486*J486</f>
        <v>0</v>
      </c>
      <c r="BK486" s="60" t="s">
        <v>971</v>
      </c>
      <c r="BL486" s="28">
        <v>97</v>
      </c>
    </row>
    <row r="487" spans="1:64" x14ac:dyDescent="0.25">
      <c r="A487" s="17"/>
      <c r="C487" s="148" t="s">
        <v>866</v>
      </c>
      <c r="D487" s="149"/>
      <c r="E487" s="149"/>
      <c r="F487" s="149"/>
      <c r="G487" s="149"/>
      <c r="I487" s="77">
        <v>59.89</v>
      </c>
      <c r="L487" s="14"/>
      <c r="M487" s="17"/>
    </row>
    <row r="488" spans="1:64" x14ac:dyDescent="0.25">
      <c r="A488" s="17"/>
      <c r="C488" s="148" t="s">
        <v>867</v>
      </c>
      <c r="D488" s="149"/>
      <c r="E488" s="149"/>
      <c r="F488" s="149"/>
      <c r="G488" s="149"/>
      <c r="I488" s="77">
        <v>52.4</v>
      </c>
      <c r="L488" s="14"/>
      <c r="M488" s="17"/>
    </row>
    <row r="489" spans="1:64" x14ac:dyDescent="0.25">
      <c r="A489" s="17"/>
      <c r="C489" s="148" t="s">
        <v>868</v>
      </c>
      <c r="D489" s="149"/>
      <c r="E489" s="149"/>
      <c r="F489" s="149"/>
      <c r="G489" s="149"/>
      <c r="I489" s="77">
        <v>66.400000000000006</v>
      </c>
      <c r="L489" s="14"/>
      <c r="M489" s="17"/>
    </row>
    <row r="490" spans="1:64" x14ac:dyDescent="0.25">
      <c r="A490" s="34" t="s">
        <v>246</v>
      </c>
      <c r="B490" s="41" t="s">
        <v>444</v>
      </c>
      <c r="C490" s="146" t="s">
        <v>869</v>
      </c>
      <c r="D490" s="147"/>
      <c r="E490" s="147"/>
      <c r="F490" s="147"/>
      <c r="G490" s="147"/>
      <c r="H490" s="41" t="s">
        <v>893</v>
      </c>
      <c r="I490" s="76">
        <v>632.34799999999996</v>
      </c>
      <c r="J490" s="60">
        <v>0</v>
      </c>
      <c r="K490" s="60">
        <f t="shared" ref="K490:K495" si="62">I490*J490</f>
        <v>0</v>
      </c>
      <c r="L490" s="53" t="s">
        <v>906</v>
      </c>
      <c r="M490" s="17"/>
      <c r="Z490" s="28">
        <f t="shared" ref="Z490:Z495" si="63">IF(AQ490="5",BJ490,0)</f>
        <v>0</v>
      </c>
      <c r="AB490" s="28">
        <f t="shared" ref="AB490:AB495" si="64">IF(AQ490="1",BH490,0)</f>
        <v>0</v>
      </c>
      <c r="AC490" s="28">
        <f t="shared" ref="AC490:AC495" si="65">IF(AQ490="1",BI490,0)</f>
        <v>0</v>
      </c>
      <c r="AD490" s="28">
        <f t="shared" ref="AD490:AD495" si="66">IF(AQ490="7",BH490,0)</f>
        <v>0</v>
      </c>
      <c r="AE490" s="28">
        <f t="shared" ref="AE490:AE495" si="67">IF(AQ490="7",BI490,0)</f>
        <v>0</v>
      </c>
      <c r="AF490" s="28">
        <f t="shared" ref="AF490:AF495" si="68">IF(AQ490="2",BH490,0)</f>
        <v>0</v>
      </c>
      <c r="AG490" s="28">
        <f t="shared" ref="AG490:AG495" si="69">IF(AQ490="2",BI490,0)</f>
        <v>0</v>
      </c>
      <c r="AH490" s="28">
        <f t="shared" ref="AH490:AH495" si="70">IF(AQ490="0",BJ490,0)</f>
        <v>0</v>
      </c>
      <c r="AI490" s="56" t="s">
        <v>72</v>
      </c>
      <c r="AJ490" s="60">
        <f t="shared" ref="AJ490:AJ495" si="71">IF(AN490=0,K490,0)</f>
        <v>0</v>
      </c>
      <c r="AK490" s="60">
        <f t="shared" ref="AK490:AK495" si="72">IF(AN490=15,K490,0)</f>
        <v>0</v>
      </c>
      <c r="AL490" s="60">
        <f t="shared" ref="AL490:AL495" si="73">IF(AN490=21,K490,0)</f>
        <v>0</v>
      </c>
      <c r="AN490" s="28">
        <v>21</v>
      </c>
      <c r="AO490" s="28">
        <f t="shared" ref="AO490:AO495" si="74">J490*0</f>
        <v>0</v>
      </c>
      <c r="AP490" s="28">
        <f t="shared" ref="AP490:AP495" si="75">J490*(1-0)</f>
        <v>0</v>
      </c>
      <c r="AQ490" s="57" t="s">
        <v>86</v>
      </c>
      <c r="AV490" s="28">
        <f t="shared" ref="AV490:AV495" si="76">AW490+AX490</f>
        <v>0</v>
      </c>
      <c r="AW490" s="28">
        <f t="shared" ref="AW490:AW495" si="77">I490*AO490</f>
        <v>0</v>
      </c>
      <c r="AX490" s="28">
        <f t="shared" ref="AX490:AX495" si="78">I490*AP490</f>
        <v>0</v>
      </c>
      <c r="AY490" s="59" t="s">
        <v>949</v>
      </c>
      <c r="AZ490" s="59" t="s">
        <v>964</v>
      </c>
      <c r="BA490" s="56" t="s">
        <v>966</v>
      </c>
      <c r="BC490" s="28">
        <f t="shared" ref="BC490:BC495" si="79">AW490+AX490</f>
        <v>0</v>
      </c>
      <c r="BD490" s="28">
        <f t="shared" ref="BD490:BD495" si="80">J490/(100-BE490)*100</f>
        <v>0</v>
      </c>
      <c r="BE490" s="28">
        <v>0</v>
      </c>
      <c r="BF490" s="28">
        <f>490</f>
        <v>490</v>
      </c>
      <c r="BH490" s="60">
        <f t="shared" ref="BH490:BH495" si="81">I490*AO490</f>
        <v>0</v>
      </c>
      <c r="BI490" s="60">
        <f t="shared" ref="BI490:BI495" si="82">I490*AP490</f>
        <v>0</v>
      </c>
      <c r="BJ490" s="60">
        <f t="shared" ref="BJ490:BJ495" si="83">I490*J490</f>
        <v>0</v>
      </c>
      <c r="BK490" s="60" t="s">
        <v>971</v>
      </c>
      <c r="BL490" s="28">
        <v>97</v>
      </c>
    </row>
    <row r="491" spans="1:64" x14ac:dyDescent="0.25">
      <c r="A491" s="34" t="s">
        <v>247</v>
      </c>
      <c r="B491" s="41" t="s">
        <v>445</v>
      </c>
      <c r="C491" s="146" t="s">
        <v>870</v>
      </c>
      <c r="D491" s="147"/>
      <c r="E491" s="147"/>
      <c r="F491" s="147"/>
      <c r="G491" s="147"/>
      <c r="H491" s="41" t="s">
        <v>893</v>
      </c>
      <c r="I491" s="76">
        <v>632.34799999999996</v>
      </c>
      <c r="J491" s="60">
        <v>0</v>
      </c>
      <c r="K491" s="60">
        <f t="shared" si="62"/>
        <v>0</v>
      </c>
      <c r="L491" s="53" t="s">
        <v>906</v>
      </c>
      <c r="M491" s="17"/>
      <c r="Z491" s="28">
        <f t="shared" si="63"/>
        <v>0</v>
      </c>
      <c r="AB491" s="28">
        <f t="shared" si="64"/>
        <v>0</v>
      </c>
      <c r="AC491" s="28">
        <f t="shared" si="65"/>
        <v>0</v>
      </c>
      <c r="AD491" s="28">
        <f t="shared" si="66"/>
        <v>0</v>
      </c>
      <c r="AE491" s="28">
        <f t="shared" si="67"/>
        <v>0</v>
      </c>
      <c r="AF491" s="28">
        <f t="shared" si="68"/>
        <v>0</v>
      </c>
      <c r="AG491" s="28">
        <f t="shared" si="69"/>
        <v>0</v>
      </c>
      <c r="AH491" s="28">
        <f t="shared" si="70"/>
        <v>0</v>
      </c>
      <c r="AI491" s="56" t="s">
        <v>72</v>
      </c>
      <c r="AJ491" s="60">
        <f t="shared" si="71"/>
        <v>0</v>
      </c>
      <c r="AK491" s="60">
        <f t="shared" si="72"/>
        <v>0</v>
      </c>
      <c r="AL491" s="60">
        <f t="shared" si="73"/>
        <v>0</v>
      </c>
      <c r="AN491" s="28">
        <v>21</v>
      </c>
      <c r="AO491" s="28">
        <f t="shared" si="74"/>
        <v>0</v>
      </c>
      <c r="AP491" s="28">
        <f t="shared" si="75"/>
        <v>0</v>
      </c>
      <c r="AQ491" s="57" t="s">
        <v>86</v>
      </c>
      <c r="AV491" s="28">
        <f t="shared" si="76"/>
        <v>0</v>
      </c>
      <c r="AW491" s="28">
        <f t="shared" si="77"/>
        <v>0</v>
      </c>
      <c r="AX491" s="28">
        <f t="shared" si="78"/>
        <v>0</v>
      </c>
      <c r="AY491" s="59" t="s">
        <v>949</v>
      </c>
      <c r="AZ491" s="59" t="s">
        <v>964</v>
      </c>
      <c r="BA491" s="56" t="s">
        <v>966</v>
      </c>
      <c r="BC491" s="28">
        <f t="shared" si="79"/>
        <v>0</v>
      </c>
      <c r="BD491" s="28">
        <f t="shared" si="80"/>
        <v>0</v>
      </c>
      <c r="BE491" s="28">
        <v>0</v>
      </c>
      <c r="BF491" s="28">
        <f>491</f>
        <v>491</v>
      </c>
      <c r="BH491" s="60">
        <f t="shared" si="81"/>
        <v>0</v>
      </c>
      <c r="BI491" s="60">
        <f t="shared" si="82"/>
        <v>0</v>
      </c>
      <c r="BJ491" s="60">
        <f t="shared" si="83"/>
        <v>0</v>
      </c>
      <c r="BK491" s="60" t="s">
        <v>971</v>
      </c>
      <c r="BL491" s="28">
        <v>97</v>
      </c>
    </row>
    <row r="492" spans="1:64" x14ac:dyDescent="0.25">
      <c r="A492" s="34" t="s">
        <v>248</v>
      </c>
      <c r="B492" s="41" t="s">
        <v>446</v>
      </c>
      <c r="C492" s="146" t="s">
        <v>871</v>
      </c>
      <c r="D492" s="147"/>
      <c r="E492" s="147"/>
      <c r="F492" s="147"/>
      <c r="G492" s="147"/>
      <c r="H492" s="41" t="s">
        <v>893</v>
      </c>
      <c r="I492" s="76">
        <v>632.34799999999996</v>
      </c>
      <c r="J492" s="60">
        <v>0</v>
      </c>
      <c r="K492" s="60">
        <f t="shared" si="62"/>
        <v>0</v>
      </c>
      <c r="L492" s="53" t="s">
        <v>906</v>
      </c>
      <c r="M492" s="17"/>
      <c r="Z492" s="28">
        <f t="shared" si="63"/>
        <v>0</v>
      </c>
      <c r="AB492" s="28">
        <f t="shared" si="64"/>
        <v>0</v>
      </c>
      <c r="AC492" s="28">
        <f t="shared" si="65"/>
        <v>0</v>
      </c>
      <c r="AD492" s="28">
        <f t="shared" si="66"/>
        <v>0</v>
      </c>
      <c r="AE492" s="28">
        <f t="shared" si="67"/>
        <v>0</v>
      </c>
      <c r="AF492" s="28">
        <f t="shared" si="68"/>
        <v>0</v>
      </c>
      <c r="AG492" s="28">
        <f t="shared" si="69"/>
        <v>0</v>
      </c>
      <c r="AH492" s="28">
        <f t="shared" si="70"/>
        <v>0</v>
      </c>
      <c r="AI492" s="56" t="s">
        <v>72</v>
      </c>
      <c r="AJ492" s="60">
        <f t="shared" si="71"/>
        <v>0</v>
      </c>
      <c r="AK492" s="60">
        <f t="shared" si="72"/>
        <v>0</v>
      </c>
      <c r="AL492" s="60">
        <f t="shared" si="73"/>
        <v>0</v>
      </c>
      <c r="AN492" s="28">
        <v>21</v>
      </c>
      <c r="AO492" s="28">
        <f t="shared" si="74"/>
        <v>0</v>
      </c>
      <c r="AP492" s="28">
        <f t="shared" si="75"/>
        <v>0</v>
      </c>
      <c r="AQ492" s="57" t="s">
        <v>86</v>
      </c>
      <c r="AV492" s="28">
        <f t="shared" si="76"/>
        <v>0</v>
      </c>
      <c r="AW492" s="28">
        <f t="shared" si="77"/>
        <v>0</v>
      </c>
      <c r="AX492" s="28">
        <f t="shared" si="78"/>
        <v>0</v>
      </c>
      <c r="AY492" s="59" t="s">
        <v>949</v>
      </c>
      <c r="AZ492" s="59" t="s">
        <v>964</v>
      </c>
      <c r="BA492" s="56" t="s">
        <v>966</v>
      </c>
      <c r="BC492" s="28">
        <f t="shared" si="79"/>
        <v>0</v>
      </c>
      <c r="BD492" s="28">
        <f t="shared" si="80"/>
        <v>0</v>
      </c>
      <c r="BE492" s="28">
        <v>0</v>
      </c>
      <c r="BF492" s="28">
        <f>492</f>
        <v>492</v>
      </c>
      <c r="BH492" s="60">
        <f t="shared" si="81"/>
        <v>0</v>
      </c>
      <c r="BI492" s="60">
        <f t="shared" si="82"/>
        <v>0</v>
      </c>
      <c r="BJ492" s="60">
        <f t="shared" si="83"/>
        <v>0</v>
      </c>
      <c r="BK492" s="60" t="s">
        <v>971</v>
      </c>
      <c r="BL492" s="28">
        <v>97</v>
      </c>
    </row>
    <row r="493" spans="1:64" x14ac:dyDescent="0.25">
      <c r="A493" s="34" t="s">
        <v>249</v>
      </c>
      <c r="B493" s="41" t="s">
        <v>447</v>
      </c>
      <c r="C493" s="146" t="s">
        <v>872</v>
      </c>
      <c r="D493" s="147"/>
      <c r="E493" s="147"/>
      <c r="F493" s="147"/>
      <c r="G493" s="147"/>
      <c r="H493" s="41" t="s">
        <v>893</v>
      </c>
      <c r="I493" s="76">
        <v>632.34799999999996</v>
      </c>
      <c r="J493" s="60">
        <v>0</v>
      </c>
      <c r="K493" s="60">
        <f t="shared" si="62"/>
        <v>0</v>
      </c>
      <c r="L493" s="53" t="s">
        <v>906</v>
      </c>
      <c r="M493" s="17"/>
      <c r="Z493" s="28">
        <f t="shared" si="63"/>
        <v>0</v>
      </c>
      <c r="AB493" s="28">
        <f t="shared" si="64"/>
        <v>0</v>
      </c>
      <c r="AC493" s="28">
        <f t="shared" si="65"/>
        <v>0</v>
      </c>
      <c r="AD493" s="28">
        <f t="shared" si="66"/>
        <v>0</v>
      </c>
      <c r="AE493" s="28">
        <f t="shared" si="67"/>
        <v>0</v>
      </c>
      <c r="AF493" s="28">
        <f t="shared" si="68"/>
        <v>0</v>
      </c>
      <c r="AG493" s="28">
        <f t="shared" si="69"/>
        <v>0</v>
      </c>
      <c r="AH493" s="28">
        <f t="shared" si="70"/>
        <v>0</v>
      </c>
      <c r="AI493" s="56" t="s">
        <v>72</v>
      </c>
      <c r="AJ493" s="60">
        <f t="shared" si="71"/>
        <v>0</v>
      </c>
      <c r="AK493" s="60">
        <f t="shared" si="72"/>
        <v>0</v>
      </c>
      <c r="AL493" s="60">
        <f t="shared" si="73"/>
        <v>0</v>
      </c>
      <c r="AN493" s="28">
        <v>21</v>
      </c>
      <c r="AO493" s="28">
        <f t="shared" si="74"/>
        <v>0</v>
      </c>
      <c r="AP493" s="28">
        <f t="shared" si="75"/>
        <v>0</v>
      </c>
      <c r="AQ493" s="57" t="s">
        <v>86</v>
      </c>
      <c r="AV493" s="28">
        <f t="shared" si="76"/>
        <v>0</v>
      </c>
      <c r="AW493" s="28">
        <f t="shared" si="77"/>
        <v>0</v>
      </c>
      <c r="AX493" s="28">
        <f t="shared" si="78"/>
        <v>0</v>
      </c>
      <c r="AY493" s="59" t="s">
        <v>949</v>
      </c>
      <c r="AZ493" s="59" t="s">
        <v>964</v>
      </c>
      <c r="BA493" s="56" t="s">
        <v>966</v>
      </c>
      <c r="BC493" s="28">
        <f t="shared" si="79"/>
        <v>0</v>
      </c>
      <c r="BD493" s="28">
        <f t="shared" si="80"/>
        <v>0</v>
      </c>
      <c r="BE493" s="28">
        <v>0</v>
      </c>
      <c r="BF493" s="28">
        <f>493</f>
        <v>493</v>
      </c>
      <c r="BH493" s="60">
        <f t="shared" si="81"/>
        <v>0</v>
      </c>
      <c r="BI493" s="60">
        <f t="shared" si="82"/>
        <v>0</v>
      </c>
      <c r="BJ493" s="60">
        <f t="shared" si="83"/>
        <v>0</v>
      </c>
      <c r="BK493" s="60" t="s">
        <v>971</v>
      </c>
      <c r="BL493" s="28">
        <v>97</v>
      </c>
    </row>
    <row r="494" spans="1:64" x14ac:dyDescent="0.25">
      <c r="A494" s="34" t="s">
        <v>250</v>
      </c>
      <c r="B494" s="41" t="s">
        <v>448</v>
      </c>
      <c r="C494" s="146" t="s">
        <v>873</v>
      </c>
      <c r="D494" s="147"/>
      <c r="E494" s="147"/>
      <c r="F494" s="147"/>
      <c r="G494" s="147"/>
      <c r="H494" s="41" t="s">
        <v>893</v>
      </c>
      <c r="I494" s="76">
        <v>632.34799999999996</v>
      </c>
      <c r="J494" s="60">
        <v>0</v>
      </c>
      <c r="K494" s="60">
        <f t="shared" si="62"/>
        <v>0</v>
      </c>
      <c r="L494" s="53" t="s">
        <v>906</v>
      </c>
      <c r="M494" s="17"/>
      <c r="Z494" s="28">
        <f t="shared" si="63"/>
        <v>0</v>
      </c>
      <c r="AB494" s="28">
        <f t="shared" si="64"/>
        <v>0</v>
      </c>
      <c r="AC494" s="28">
        <f t="shared" si="65"/>
        <v>0</v>
      </c>
      <c r="AD494" s="28">
        <f t="shared" si="66"/>
        <v>0</v>
      </c>
      <c r="AE494" s="28">
        <f t="shared" si="67"/>
        <v>0</v>
      </c>
      <c r="AF494" s="28">
        <f t="shared" si="68"/>
        <v>0</v>
      </c>
      <c r="AG494" s="28">
        <f t="shared" si="69"/>
        <v>0</v>
      </c>
      <c r="AH494" s="28">
        <f t="shared" si="70"/>
        <v>0</v>
      </c>
      <c r="AI494" s="56" t="s">
        <v>72</v>
      </c>
      <c r="AJ494" s="60">
        <f t="shared" si="71"/>
        <v>0</v>
      </c>
      <c r="AK494" s="60">
        <f t="shared" si="72"/>
        <v>0</v>
      </c>
      <c r="AL494" s="60">
        <f t="shared" si="73"/>
        <v>0</v>
      </c>
      <c r="AN494" s="28">
        <v>21</v>
      </c>
      <c r="AO494" s="28">
        <f t="shared" si="74"/>
        <v>0</v>
      </c>
      <c r="AP494" s="28">
        <f t="shared" si="75"/>
        <v>0</v>
      </c>
      <c r="AQ494" s="57" t="s">
        <v>86</v>
      </c>
      <c r="AV494" s="28">
        <f t="shared" si="76"/>
        <v>0</v>
      </c>
      <c r="AW494" s="28">
        <f t="shared" si="77"/>
        <v>0</v>
      </c>
      <c r="AX494" s="28">
        <f t="shared" si="78"/>
        <v>0</v>
      </c>
      <c r="AY494" s="59" t="s">
        <v>949</v>
      </c>
      <c r="AZ494" s="59" t="s">
        <v>964</v>
      </c>
      <c r="BA494" s="56" t="s">
        <v>966</v>
      </c>
      <c r="BC494" s="28">
        <f t="shared" si="79"/>
        <v>0</v>
      </c>
      <c r="BD494" s="28">
        <f t="shared" si="80"/>
        <v>0</v>
      </c>
      <c r="BE494" s="28">
        <v>0</v>
      </c>
      <c r="BF494" s="28">
        <f>494</f>
        <v>494</v>
      </c>
      <c r="BH494" s="60">
        <f t="shared" si="81"/>
        <v>0</v>
      </c>
      <c r="BI494" s="60">
        <f t="shared" si="82"/>
        <v>0</v>
      </c>
      <c r="BJ494" s="60">
        <f t="shared" si="83"/>
        <v>0</v>
      </c>
      <c r="BK494" s="60" t="s">
        <v>971</v>
      </c>
      <c r="BL494" s="28">
        <v>97</v>
      </c>
    </row>
    <row r="495" spans="1:64" x14ac:dyDescent="0.25">
      <c r="A495" s="34" t="s">
        <v>251</v>
      </c>
      <c r="B495" s="41" t="s">
        <v>449</v>
      </c>
      <c r="C495" s="146" t="s">
        <v>874</v>
      </c>
      <c r="D495" s="147"/>
      <c r="E495" s="147"/>
      <c r="F495" s="147"/>
      <c r="G495" s="147"/>
      <c r="H495" s="41" t="s">
        <v>891</v>
      </c>
      <c r="I495" s="76">
        <v>390.24400000000003</v>
      </c>
      <c r="J495" s="60">
        <v>0</v>
      </c>
      <c r="K495" s="60">
        <f t="shared" si="62"/>
        <v>0</v>
      </c>
      <c r="L495" s="53" t="s">
        <v>906</v>
      </c>
      <c r="M495" s="17"/>
      <c r="Z495" s="28">
        <f t="shared" si="63"/>
        <v>0</v>
      </c>
      <c r="AB495" s="28">
        <f t="shared" si="64"/>
        <v>0</v>
      </c>
      <c r="AC495" s="28">
        <f t="shared" si="65"/>
        <v>0</v>
      </c>
      <c r="AD495" s="28">
        <f t="shared" si="66"/>
        <v>0</v>
      </c>
      <c r="AE495" s="28">
        <f t="shared" si="67"/>
        <v>0</v>
      </c>
      <c r="AF495" s="28">
        <f t="shared" si="68"/>
        <v>0</v>
      </c>
      <c r="AG495" s="28">
        <f t="shared" si="69"/>
        <v>0</v>
      </c>
      <c r="AH495" s="28">
        <f t="shared" si="70"/>
        <v>0</v>
      </c>
      <c r="AI495" s="56" t="s">
        <v>72</v>
      </c>
      <c r="AJ495" s="60">
        <f t="shared" si="71"/>
        <v>0</v>
      </c>
      <c r="AK495" s="60">
        <f t="shared" si="72"/>
        <v>0</v>
      </c>
      <c r="AL495" s="60">
        <f t="shared" si="73"/>
        <v>0</v>
      </c>
      <c r="AN495" s="28">
        <v>21</v>
      </c>
      <c r="AO495" s="28">
        <f t="shared" si="74"/>
        <v>0</v>
      </c>
      <c r="AP495" s="28">
        <f t="shared" si="75"/>
        <v>0</v>
      </c>
      <c r="AQ495" s="57" t="s">
        <v>82</v>
      </c>
      <c r="AV495" s="28">
        <f t="shared" si="76"/>
        <v>0</v>
      </c>
      <c r="AW495" s="28">
        <f t="shared" si="77"/>
        <v>0</v>
      </c>
      <c r="AX495" s="28">
        <f t="shared" si="78"/>
        <v>0</v>
      </c>
      <c r="AY495" s="59" t="s">
        <v>949</v>
      </c>
      <c r="AZ495" s="59" t="s">
        <v>964</v>
      </c>
      <c r="BA495" s="56" t="s">
        <v>966</v>
      </c>
      <c r="BC495" s="28">
        <f t="shared" si="79"/>
        <v>0</v>
      </c>
      <c r="BD495" s="28">
        <f t="shared" si="80"/>
        <v>0</v>
      </c>
      <c r="BE495" s="28">
        <v>0</v>
      </c>
      <c r="BF495" s="28">
        <f>495</f>
        <v>495</v>
      </c>
      <c r="BH495" s="60">
        <f t="shared" si="81"/>
        <v>0</v>
      </c>
      <c r="BI495" s="60">
        <f t="shared" si="82"/>
        <v>0</v>
      </c>
      <c r="BJ495" s="60">
        <f t="shared" si="83"/>
        <v>0</v>
      </c>
      <c r="BK495" s="60" t="s">
        <v>971</v>
      </c>
      <c r="BL495" s="28">
        <v>97</v>
      </c>
    </row>
    <row r="496" spans="1:64" x14ac:dyDescent="0.25">
      <c r="A496" s="17"/>
      <c r="C496" s="148" t="s">
        <v>875</v>
      </c>
      <c r="D496" s="149"/>
      <c r="E496" s="149"/>
      <c r="F496" s="149"/>
      <c r="G496" s="149"/>
      <c r="I496" s="77">
        <v>340.94299999999998</v>
      </c>
      <c r="L496" s="14"/>
      <c r="M496" s="17"/>
    </row>
    <row r="497" spans="1:64" x14ac:dyDescent="0.25">
      <c r="A497" s="17"/>
      <c r="C497" s="148" t="s">
        <v>876</v>
      </c>
      <c r="D497" s="149"/>
      <c r="E497" s="149"/>
      <c r="F497" s="149"/>
      <c r="G497" s="149"/>
      <c r="I497" s="77">
        <v>49.301000000000002</v>
      </c>
      <c r="L497" s="14"/>
      <c r="M497" s="17"/>
    </row>
    <row r="498" spans="1:64" x14ac:dyDescent="0.25">
      <c r="A498" s="34" t="s">
        <v>252</v>
      </c>
      <c r="B498" s="41" t="s">
        <v>450</v>
      </c>
      <c r="C498" s="146" t="s">
        <v>877</v>
      </c>
      <c r="D498" s="147"/>
      <c r="E498" s="147"/>
      <c r="F498" s="147"/>
      <c r="G498" s="147"/>
      <c r="H498" s="41" t="s">
        <v>891</v>
      </c>
      <c r="I498" s="76">
        <v>152.88800000000001</v>
      </c>
      <c r="J498" s="60">
        <v>0</v>
      </c>
      <c r="K498" s="60">
        <f>I498*J498</f>
        <v>0</v>
      </c>
      <c r="L498" s="53" t="s">
        <v>906</v>
      </c>
      <c r="M498" s="17"/>
      <c r="Z498" s="28">
        <f>IF(AQ498="5",BJ498,0)</f>
        <v>0</v>
      </c>
      <c r="AB498" s="28">
        <f>IF(AQ498="1",BH498,0)</f>
        <v>0</v>
      </c>
      <c r="AC498" s="28">
        <f>IF(AQ498="1",BI498,0)</f>
        <v>0</v>
      </c>
      <c r="AD498" s="28">
        <f>IF(AQ498="7",BH498,0)</f>
        <v>0</v>
      </c>
      <c r="AE498" s="28">
        <f>IF(AQ498="7",BI498,0)</f>
        <v>0</v>
      </c>
      <c r="AF498" s="28">
        <f>IF(AQ498="2",BH498,0)</f>
        <v>0</v>
      </c>
      <c r="AG498" s="28">
        <f>IF(AQ498="2",BI498,0)</f>
        <v>0</v>
      </c>
      <c r="AH498" s="28">
        <f>IF(AQ498="0",BJ498,0)</f>
        <v>0</v>
      </c>
      <c r="AI498" s="56" t="s">
        <v>72</v>
      </c>
      <c r="AJ498" s="60">
        <f>IF(AN498=0,K498,0)</f>
        <v>0</v>
      </c>
      <c r="AK498" s="60">
        <f>IF(AN498=15,K498,0)</f>
        <v>0</v>
      </c>
      <c r="AL498" s="60">
        <f>IF(AN498=21,K498,0)</f>
        <v>0</v>
      </c>
      <c r="AN498" s="28">
        <v>21</v>
      </c>
      <c r="AO498" s="28">
        <f>J498*0</f>
        <v>0</v>
      </c>
      <c r="AP498" s="28">
        <f>J498*(1-0)</f>
        <v>0</v>
      </c>
      <c r="AQ498" s="57" t="s">
        <v>82</v>
      </c>
      <c r="AV498" s="28">
        <f>AW498+AX498</f>
        <v>0</v>
      </c>
      <c r="AW498" s="28">
        <f>I498*AO498</f>
        <v>0</v>
      </c>
      <c r="AX498" s="28">
        <f>I498*AP498</f>
        <v>0</v>
      </c>
      <c r="AY498" s="59" t="s">
        <v>949</v>
      </c>
      <c r="AZ498" s="59" t="s">
        <v>964</v>
      </c>
      <c r="BA498" s="56" t="s">
        <v>966</v>
      </c>
      <c r="BC498" s="28">
        <f>AW498+AX498</f>
        <v>0</v>
      </c>
      <c r="BD498" s="28">
        <f>J498/(100-BE498)*100</f>
        <v>0</v>
      </c>
      <c r="BE498" s="28">
        <v>0</v>
      </c>
      <c r="BF498" s="28">
        <f>498</f>
        <v>498</v>
      </c>
      <c r="BH498" s="60">
        <f>I498*AO498</f>
        <v>0</v>
      </c>
      <c r="BI498" s="60">
        <f>I498*AP498</f>
        <v>0</v>
      </c>
      <c r="BJ498" s="60">
        <f>I498*J498</f>
        <v>0</v>
      </c>
      <c r="BK498" s="60" t="s">
        <v>971</v>
      </c>
      <c r="BL498" s="28">
        <v>97</v>
      </c>
    </row>
    <row r="499" spans="1:64" x14ac:dyDescent="0.25">
      <c r="A499" s="17"/>
      <c r="C499" s="148" t="s">
        <v>571</v>
      </c>
      <c r="D499" s="149"/>
      <c r="E499" s="149"/>
      <c r="F499" s="149"/>
      <c r="G499" s="149"/>
      <c r="I499" s="77">
        <v>152.88800000000001</v>
      </c>
      <c r="L499" s="14"/>
      <c r="M499" s="17"/>
    </row>
    <row r="500" spans="1:64" x14ac:dyDescent="0.25">
      <c r="A500" s="33"/>
      <c r="B500" s="40" t="s">
        <v>451</v>
      </c>
      <c r="C500" s="144" t="s">
        <v>878</v>
      </c>
      <c r="D500" s="145"/>
      <c r="E500" s="145"/>
      <c r="F500" s="145"/>
      <c r="G500" s="145"/>
      <c r="H500" s="46" t="s">
        <v>58</v>
      </c>
      <c r="I500" s="46" t="s">
        <v>58</v>
      </c>
      <c r="J500" s="46" t="s">
        <v>58</v>
      </c>
      <c r="K500" s="65">
        <f>SUM(K501:K502)</f>
        <v>0</v>
      </c>
      <c r="L500" s="52"/>
      <c r="M500" s="17"/>
      <c r="AI500" s="56" t="s">
        <v>72</v>
      </c>
      <c r="AS500" s="65">
        <f>SUM(AJ501:AJ502)</f>
        <v>0</v>
      </c>
      <c r="AT500" s="65">
        <f>SUM(AK501:AK502)</f>
        <v>0</v>
      </c>
      <c r="AU500" s="65">
        <f>SUM(AL501:AL502)</f>
        <v>0</v>
      </c>
    </row>
    <row r="501" spans="1:64" x14ac:dyDescent="0.25">
      <c r="A501" s="34" t="s">
        <v>253</v>
      </c>
      <c r="B501" s="41" t="s">
        <v>452</v>
      </c>
      <c r="C501" s="146" t="s">
        <v>879</v>
      </c>
      <c r="D501" s="147"/>
      <c r="E501" s="147"/>
      <c r="F501" s="147"/>
      <c r="G501" s="147"/>
      <c r="H501" s="41" t="s">
        <v>900</v>
      </c>
      <c r="I501" s="76">
        <v>1</v>
      </c>
      <c r="J501" s="60">
        <v>0</v>
      </c>
      <c r="K501" s="60">
        <f>I501*J501</f>
        <v>0</v>
      </c>
      <c r="L501" s="53"/>
      <c r="M501" s="17"/>
      <c r="Z501" s="28">
        <f>IF(AQ501="5",BJ501,0)</f>
        <v>0</v>
      </c>
      <c r="AB501" s="28">
        <f>IF(AQ501="1",BH501,0)</f>
        <v>0</v>
      </c>
      <c r="AC501" s="28">
        <f>IF(AQ501="1",BI501,0)</f>
        <v>0</v>
      </c>
      <c r="AD501" s="28">
        <f>IF(AQ501="7",BH501,0)</f>
        <v>0</v>
      </c>
      <c r="AE501" s="28">
        <f>IF(AQ501="7",BI501,0)</f>
        <v>0</v>
      </c>
      <c r="AF501" s="28">
        <f>IF(AQ501="2",BH501,0)</f>
        <v>0</v>
      </c>
      <c r="AG501" s="28">
        <f>IF(AQ501="2",BI501,0)</f>
        <v>0</v>
      </c>
      <c r="AH501" s="28">
        <f>IF(AQ501="0",BJ501,0)</f>
        <v>0</v>
      </c>
      <c r="AI501" s="56" t="s">
        <v>72</v>
      </c>
      <c r="AJ501" s="60">
        <f>IF(AN501=0,K501,0)</f>
        <v>0</v>
      </c>
      <c r="AK501" s="60">
        <f>IF(AN501=15,K501,0)</f>
        <v>0</v>
      </c>
      <c r="AL501" s="60">
        <f>IF(AN501=21,K501,0)</f>
        <v>0</v>
      </c>
      <c r="AN501" s="28">
        <v>21</v>
      </c>
      <c r="AO501" s="28">
        <f>J501*0</f>
        <v>0</v>
      </c>
      <c r="AP501" s="28">
        <f>J501*(1-0)</f>
        <v>0</v>
      </c>
      <c r="AQ501" s="57" t="s">
        <v>82</v>
      </c>
      <c r="AV501" s="28">
        <f>AW501+AX501</f>
        <v>0</v>
      </c>
      <c r="AW501" s="28">
        <f>I501*AO501</f>
        <v>0</v>
      </c>
      <c r="AX501" s="28">
        <f>I501*AP501</f>
        <v>0</v>
      </c>
      <c r="AY501" s="59" t="s">
        <v>950</v>
      </c>
      <c r="AZ501" s="59" t="s">
        <v>964</v>
      </c>
      <c r="BA501" s="56" t="s">
        <v>966</v>
      </c>
      <c r="BC501" s="28">
        <f>AW501+AX501</f>
        <v>0</v>
      </c>
      <c r="BD501" s="28">
        <f>J501/(100-BE501)*100</f>
        <v>0</v>
      </c>
      <c r="BE501" s="28">
        <v>0</v>
      </c>
      <c r="BF501" s="28">
        <f>501</f>
        <v>501</v>
      </c>
      <c r="BH501" s="60">
        <f>I501*AO501</f>
        <v>0</v>
      </c>
      <c r="BI501" s="60">
        <f>I501*AP501</f>
        <v>0</v>
      </c>
      <c r="BJ501" s="60">
        <f>I501*J501</f>
        <v>0</v>
      </c>
      <c r="BK501" s="60" t="s">
        <v>971</v>
      </c>
      <c r="BL501" s="28" t="s">
        <v>451</v>
      </c>
    </row>
    <row r="502" spans="1:64" x14ac:dyDescent="0.25">
      <c r="A502" s="34" t="s">
        <v>254</v>
      </c>
      <c r="B502" s="41" t="s">
        <v>453</v>
      </c>
      <c r="C502" s="146" t="s">
        <v>880</v>
      </c>
      <c r="D502" s="147"/>
      <c r="E502" s="147"/>
      <c r="F502" s="147"/>
      <c r="G502" s="147"/>
      <c r="H502" s="41" t="s">
        <v>900</v>
      </c>
      <c r="I502" s="76">
        <v>1</v>
      </c>
      <c r="J502" s="60">
        <v>0</v>
      </c>
      <c r="K502" s="60">
        <f>I502*J502</f>
        <v>0</v>
      </c>
      <c r="L502" s="53"/>
      <c r="M502" s="17"/>
      <c r="Z502" s="28">
        <f>IF(AQ502="5",BJ502,0)</f>
        <v>0</v>
      </c>
      <c r="AB502" s="28">
        <f>IF(AQ502="1",BH502,0)</f>
        <v>0</v>
      </c>
      <c r="AC502" s="28">
        <f>IF(AQ502="1",BI502,0)</f>
        <v>0</v>
      </c>
      <c r="AD502" s="28">
        <f>IF(AQ502="7",BH502,0)</f>
        <v>0</v>
      </c>
      <c r="AE502" s="28">
        <f>IF(AQ502="7",BI502,0)</f>
        <v>0</v>
      </c>
      <c r="AF502" s="28">
        <f>IF(AQ502="2",BH502,0)</f>
        <v>0</v>
      </c>
      <c r="AG502" s="28">
        <f>IF(AQ502="2",BI502,0)</f>
        <v>0</v>
      </c>
      <c r="AH502" s="28">
        <f>IF(AQ502="0",BJ502,0)</f>
        <v>0</v>
      </c>
      <c r="AI502" s="56" t="s">
        <v>72</v>
      </c>
      <c r="AJ502" s="60">
        <f>IF(AN502=0,K502,0)</f>
        <v>0</v>
      </c>
      <c r="AK502" s="60">
        <f>IF(AN502=15,K502,0)</f>
        <v>0</v>
      </c>
      <c r="AL502" s="60">
        <f>IF(AN502=21,K502,0)</f>
        <v>0</v>
      </c>
      <c r="AN502" s="28">
        <v>21</v>
      </c>
      <c r="AO502" s="28">
        <f>J502*0.595238095238095</f>
        <v>0</v>
      </c>
      <c r="AP502" s="28">
        <f>J502*(1-0.595238095238095)</f>
        <v>0</v>
      </c>
      <c r="AQ502" s="57" t="s">
        <v>82</v>
      </c>
      <c r="AV502" s="28">
        <f>AW502+AX502</f>
        <v>0</v>
      </c>
      <c r="AW502" s="28">
        <f>I502*AO502</f>
        <v>0</v>
      </c>
      <c r="AX502" s="28">
        <f>I502*AP502</f>
        <v>0</v>
      </c>
      <c r="AY502" s="59" t="s">
        <v>950</v>
      </c>
      <c r="AZ502" s="59" t="s">
        <v>964</v>
      </c>
      <c r="BA502" s="56" t="s">
        <v>966</v>
      </c>
      <c r="BC502" s="28">
        <f>AW502+AX502</f>
        <v>0</v>
      </c>
      <c r="BD502" s="28">
        <f>J502/(100-BE502)*100</f>
        <v>0</v>
      </c>
      <c r="BE502" s="28">
        <v>0</v>
      </c>
      <c r="BF502" s="28">
        <f>502</f>
        <v>502</v>
      </c>
      <c r="BH502" s="60">
        <f>I502*AO502</f>
        <v>0</v>
      </c>
      <c r="BI502" s="60">
        <f>I502*AP502</f>
        <v>0</v>
      </c>
      <c r="BJ502" s="60">
        <f>I502*J502</f>
        <v>0</v>
      </c>
      <c r="BK502" s="60" t="s">
        <v>971</v>
      </c>
      <c r="BL502" s="28" t="s">
        <v>451</v>
      </c>
    </row>
    <row r="503" spans="1:64" x14ac:dyDescent="0.25">
      <c r="A503" s="33"/>
      <c r="B503" s="40" t="s">
        <v>454</v>
      </c>
      <c r="C503" s="144" t="s">
        <v>881</v>
      </c>
      <c r="D503" s="145"/>
      <c r="E503" s="145"/>
      <c r="F503" s="145"/>
      <c r="G503" s="145"/>
      <c r="H503" s="46" t="s">
        <v>58</v>
      </c>
      <c r="I503" s="46" t="s">
        <v>58</v>
      </c>
      <c r="J503" s="46" t="s">
        <v>58</v>
      </c>
      <c r="K503" s="65">
        <f>SUM(K504:K504)</f>
        <v>0</v>
      </c>
      <c r="L503" s="52"/>
      <c r="M503" s="17"/>
      <c r="AI503" s="56" t="s">
        <v>72</v>
      </c>
      <c r="AS503" s="65">
        <f>SUM(AJ504:AJ504)</f>
        <v>0</v>
      </c>
      <c r="AT503" s="65">
        <f>SUM(AK504:AK504)</f>
        <v>0</v>
      </c>
      <c r="AU503" s="65">
        <f>SUM(AL504:AL504)</f>
        <v>0</v>
      </c>
    </row>
    <row r="504" spans="1:64" x14ac:dyDescent="0.25">
      <c r="A504" s="34" t="s">
        <v>255</v>
      </c>
      <c r="B504" s="41" t="s">
        <v>455</v>
      </c>
      <c r="C504" s="146" t="s">
        <v>882</v>
      </c>
      <c r="D504" s="147"/>
      <c r="E504" s="147"/>
      <c r="F504" s="147"/>
      <c r="G504" s="147"/>
      <c r="H504" s="41" t="s">
        <v>897</v>
      </c>
      <c r="I504" s="76">
        <v>2</v>
      </c>
      <c r="J504" s="60">
        <v>0</v>
      </c>
      <c r="K504" s="60">
        <f>I504*J504</f>
        <v>0</v>
      </c>
      <c r="L504" s="53" t="s">
        <v>906</v>
      </c>
      <c r="M504" s="17"/>
      <c r="Z504" s="28">
        <f>IF(AQ504="5",BJ504,0)</f>
        <v>0</v>
      </c>
      <c r="AB504" s="28">
        <f>IF(AQ504="1",BH504,0)</f>
        <v>0</v>
      </c>
      <c r="AC504" s="28">
        <f>IF(AQ504="1",BI504,0)</f>
        <v>0</v>
      </c>
      <c r="AD504" s="28">
        <f>IF(AQ504="7",BH504,0)</f>
        <v>0</v>
      </c>
      <c r="AE504" s="28">
        <f>IF(AQ504="7",BI504,0)</f>
        <v>0</v>
      </c>
      <c r="AF504" s="28">
        <f>IF(AQ504="2",BH504,0)</f>
        <v>0</v>
      </c>
      <c r="AG504" s="28">
        <f>IF(AQ504="2",BI504,0)</f>
        <v>0</v>
      </c>
      <c r="AH504" s="28">
        <f>IF(AQ504="0",BJ504,0)</f>
        <v>0</v>
      </c>
      <c r="AI504" s="56" t="s">
        <v>72</v>
      </c>
      <c r="AJ504" s="60">
        <f>IF(AN504=0,K504,0)</f>
        <v>0</v>
      </c>
      <c r="AK504" s="60">
        <f>IF(AN504=15,K504,0)</f>
        <v>0</v>
      </c>
      <c r="AL504" s="60">
        <f>IF(AN504=21,K504,0)</f>
        <v>0</v>
      </c>
      <c r="AN504" s="28">
        <v>21</v>
      </c>
      <c r="AO504" s="28">
        <f>J504*1</f>
        <v>0</v>
      </c>
      <c r="AP504" s="28">
        <f>J504*(1-1)</f>
        <v>0</v>
      </c>
      <c r="AQ504" s="57" t="s">
        <v>82</v>
      </c>
      <c r="AV504" s="28">
        <f>AW504+AX504</f>
        <v>0</v>
      </c>
      <c r="AW504" s="28">
        <f>I504*AO504</f>
        <v>0</v>
      </c>
      <c r="AX504" s="28">
        <f>I504*AP504</f>
        <v>0</v>
      </c>
      <c r="AY504" s="59" t="s">
        <v>951</v>
      </c>
      <c r="AZ504" s="59" t="s">
        <v>964</v>
      </c>
      <c r="BA504" s="56" t="s">
        <v>966</v>
      </c>
      <c r="BC504" s="28">
        <f>AW504+AX504</f>
        <v>0</v>
      </c>
      <c r="BD504" s="28">
        <f>J504/(100-BE504)*100</f>
        <v>0</v>
      </c>
      <c r="BE504" s="28">
        <v>0</v>
      </c>
      <c r="BF504" s="28">
        <f>504</f>
        <v>504</v>
      </c>
      <c r="BH504" s="60">
        <f>I504*AO504</f>
        <v>0</v>
      </c>
      <c r="BI504" s="60">
        <f>I504*AP504</f>
        <v>0</v>
      </c>
      <c r="BJ504" s="60">
        <f>I504*J504</f>
        <v>0</v>
      </c>
      <c r="BK504" s="60" t="s">
        <v>971</v>
      </c>
      <c r="BL504" s="28" t="s">
        <v>454</v>
      </c>
    </row>
    <row r="505" spans="1:64" x14ac:dyDescent="0.25">
      <c r="A505" s="33"/>
      <c r="B505" s="40"/>
      <c r="C505" s="144" t="s">
        <v>883</v>
      </c>
      <c r="D505" s="145"/>
      <c r="E505" s="145"/>
      <c r="F505" s="145"/>
      <c r="G505" s="145"/>
      <c r="H505" s="46" t="s">
        <v>58</v>
      </c>
      <c r="I505" s="46" t="s">
        <v>58</v>
      </c>
      <c r="J505" s="46" t="s">
        <v>58</v>
      </c>
      <c r="K505" s="65">
        <f>SUM(K506:K511)</f>
        <v>0</v>
      </c>
      <c r="L505" s="52"/>
      <c r="M505" s="17"/>
      <c r="AI505" s="56" t="s">
        <v>72</v>
      </c>
      <c r="AS505" s="65">
        <f>SUM(AJ506:AJ511)</f>
        <v>0</v>
      </c>
      <c r="AT505" s="65">
        <f>SUM(AK506:AK511)</f>
        <v>0</v>
      </c>
      <c r="AU505" s="65">
        <f>SUM(AL506:AL511)</f>
        <v>0</v>
      </c>
    </row>
    <row r="506" spans="1:64" x14ac:dyDescent="0.25">
      <c r="A506" s="34" t="s">
        <v>256</v>
      </c>
      <c r="B506" s="41" t="s">
        <v>456</v>
      </c>
      <c r="C506" s="146" t="s">
        <v>884</v>
      </c>
      <c r="D506" s="147"/>
      <c r="E506" s="147"/>
      <c r="F506" s="147"/>
      <c r="G506" s="147"/>
      <c r="H506" s="41" t="s">
        <v>897</v>
      </c>
      <c r="I506" s="76">
        <v>1</v>
      </c>
      <c r="J506" s="60">
        <v>0</v>
      </c>
      <c r="K506" s="60">
        <f t="shared" ref="K506:K511" si="84">I506*J506</f>
        <v>0</v>
      </c>
      <c r="L506" s="53" t="s">
        <v>906</v>
      </c>
      <c r="M506" s="17"/>
      <c r="Z506" s="28">
        <f t="shared" ref="Z506:Z511" si="85">IF(AQ506="5",BJ506,0)</f>
        <v>0</v>
      </c>
      <c r="AB506" s="28">
        <f t="shared" ref="AB506:AB511" si="86">IF(AQ506="1",BH506,0)</f>
        <v>0</v>
      </c>
      <c r="AC506" s="28">
        <f t="shared" ref="AC506:AC511" si="87">IF(AQ506="1",BI506,0)</f>
        <v>0</v>
      </c>
      <c r="AD506" s="28">
        <f t="shared" ref="AD506:AD511" si="88">IF(AQ506="7",BH506,0)</f>
        <v>0</v>
      </c>
      <c r="AE506" s="28">
        <f t="shared" ref="AE506:AE511" si="89">IF(AQ506="7",BI506,0)</f>
        <v>0</v>
      </c>
      <c r="AF506" s="28">
        <f t="shared" ref="AF506:AF511" si="90">IF(AQ506="2",BH506,0)</f>
        <v>0</v>
      </c>
      <c r="AG506" s="28">
        <f t="shared" ref="AG506:AG511" si="91">IF(AQ506="2",BI506,0)</f>
        <v>0</v>
      </c>
      <c r="AH506" s="28">
        <f t="shared" ref="AH506:AH511" si="92">IF(AQ506="0",BJ506,0)</f>
        <v>0</v>
      </c>
      <c r="AI506" s="56" t="s">
        <v>72</v>
      </c>
      <c r="AJ506" s="60">
        <f t="shared" ref="AJ506:AJ511" si="93">IF(AN506=0,K506,0)</f>
        <v>0</v>
      </c>
      <c r="AK506" s="60">
        <f t="shared" ref="AK506:AK511" si="94">IF(AN506=15,K506,0)</f>
        <v>0</v>
      </c>
      <c r="AL506" s="60">
        <f t="shared" ref="AL506:AL511" si="95">IF(AN506=21,K506,0)</f>
        <v>0</v>
      </c>
      <c r="AN506" s="28">
        <v>21</v>
      </c>
      <c r="AO506" s="28">
        <f t="shared" ref="AO506:AO511" si="96">J506*1</f>
        <v>0</v>
      </c>
      <c r="AP506" s="28">
        <f t="shared" ref="AP506:AP511" si="97">J506*(1-1)</f>
        <v>0</v>
      </c>
      <c r="AQ506" s="57" t="s">
        <v>82</v>
      </c>
      <c r="AV506" s="28">
        <f t="shared" ref="AV506:AV511" si="98">AW506+AX506</f>
        <v>0</v>
      </c>
      <c r="AW506" s="28">
        <f t="shared" ref="AW506:AW511" si="99">I506*AO506</f>
        <v>0</v>
      </c>
      <c r="AX506" s="28">
        <f t="shared" ref="AX506:AX511" si="100">I506*AP506</f>
        <v>0</v>
      </c>
      <c r="AY506" s="59" t="s">
        <v>952</v>
      </c>
      <c r="AZ506" s="59" t="s">
        <v>965</v>
      </c>
      <c r="BA506" s="56" t="s">
        <v>966</v>
      </c>
      <c r="BC506" s="28">
        <f t="shared" ref="BC506:BC511" si="101">AW506+AX506</f>
        <v>0</v>
      </c>
      <c r="BD506" s="28">
        <f t="shared" ref="BD506:BD511" si="102">J506/(100-BE506)*100</f>
        <v>0</v>
      </c>
      <c r="BE506" s="28">
        <v>0</v>
      </c>
      <c r="BF506" s="28">
        <f>506</f>
        <v>506</v>
      </c>
      <c r="BH506" s="60">
        <f t="shared" ref="BH506:BH511" si="103">I506*AO506</f>
        <v>0</v>
      </c>
      <c r="BI506" s="60">
        <f t="shared" ref="BI506:BI511" si="104">I506*AP506</f>
        <v>0</v>
      </c>
      <c r="BJ506" s="60">
        <f t="shared" ref="BJ506:BJ511" si="105">I506*J506</f>
        <v>0</v>
      </c>
      <c r="BK506" s="60" t="s">
        <v>971</v>
      </c>
      <c r="BL506" s="28"/>
    </row>
    <row r="507" spans="1:64" x14ac:dyDescent="0.25">
      <c r="A507" s="34" t="s">
        <v>257</v>
      </c>
      <c r="B507" s="41" t="s">
        <v>457</v>
      </c>
      <c r="C507" s="146" t="s">
        <v>885</v>
      </c>
      <c r="D507" s="147"/>
      <c r="E507" s="147"/>
      <c r="F507" s="147"/>
      <c r="G507" s="147"/>
      <c r="H507" s="41" t="s">
        <v>895</v>
      </c>
      <c r="I507" s="76">
        <v>10.5</v>
      </c>
      <c r="J507" s="60">
        <v>0</v>
      </c>
      <c r="K507" s="60">
        <f t="shared" si="84"/>
        <v>0</v>
      </c>
      <c r="L507" s="53" t="s">
        <v>906</v>
      </c>
      <c r="M507" s="17"/>
      <c r="Z507" s="28">
        <f t="shared" si="85"/>
        <v>0</v>
      </c>
      <c r="AB507" s="28">
        <f t="shared" si="86"/>
        <v>0</v>
      </c>
      <c r="AC507" s="28">
        <f t="shared" si="87"/>
        <v>0</v>
      </c>
      <c r="AD507" s="28">
        <f t="shared" si="88"/>
        <v>0</v>
      </c>
      <c r="AE507" s="28">
        <f t="shared" si="89"/>
        <v>0</v>
      </c>
      <c r="AF507" s="28">
        <f t="shared" si="90"/>
        <v>0</v>
      </c>
      <c r="AG507" s="28">
        <f t="shared" si="91"/>
        <v>0</v>
      </c>
      <c r="AH507" s="28">
        <f t="shared" si="92"/>
        <v>0</v>
      </c>
      <c r="AI507" s="56" t="s">
        <v>72</v>
      </c>
      <c r="AJ507" s="60">
        <f t="shared" si="93"/>
        <v>0</v>
      </c>
      <c r="AK507" s="60">
        <f t="shared" si="94"/>
        <v>0</v>
      </c>
      <c r="AL507" s="60">
        <f t="shared" si="95"/>
        <v>0</v>
      </c>
      <c r="AN507" s="28">
        <v>21</v>
      </c>
      <c r="AO507" s="28">
        <f t="shared" si="96"/>
        <v>0</v>
      </c>
      <c r="AP507" s="28">
        <f t="shared" si="97"/>
        <v>0</v>
      </c>
      <c r="AQ507" s="57" t="s">
        <v>82</v>
      </c>
      <c r="AV507" s="28">
        <f t="shared" si="98"/>
        <v>0</v>
      </c>
      <c r="AW507" s="28">
        <f t="shared" si="99"/>
        <v>0</v>
      </c>
      <c r="AX507" s="28">
        <f t="shared" si="100"/>
        <v>0</v>
      </c>
      <c r="AY507" s="59" t="s">
        <v>952</v>
      </c>
      <c r="AZ507" s="59" t="s">
        <v>965</v>
      </c>
      <c r="BA507" s="56" t="s">
        <v>966</v>
      </c>
      <c r="BC507" s="28">
        <f t="shared" si="101"/>
        <v>0</v>
      </c>
      <c r="BD507" s="28">
        <f t="shared" si="102"/>
        <v>0</v>
      </c>
      <c r="BE507" s="28">
        <v>0</v>
      </c>
      <c r="BF507" s="28">
        <f>507</f>
        <v>507</v>
      </c>
      <c r="BH507" s="60">
        <f t="shared" si="103"/>
        <v>0</v>
      </c>
      <c r="BI507" s="60">
        <f t="shared" si="104"/>
        <v>0</v>
      </c>
      <c r="BJ507" s="60">
        <f t="shared" si="105"/>
        <v>0</v>
      </c>
      <c r="BK507" s="60" t="s">
        <v>971</v>
      </c>
      <c r="BL507" s="28"/>
    </row>
    <row r="508" spans="1:64" x14ac:dyDescent="0.25">
      <c r="A508" s="34" t="s">
        <v>258</v>
      </c>
      <c r="B508" s="41" t="s">
        <v>458</v>
      </c>
      <c r="C508" s="146" t="s">
        <v>886</v>
      </c>
      <c r="D508" s="147"/>
      <c r="E508" s="147"/>
      <c r="F508" s="147"/>
      <c r="G508" s="147"/>
      <c r="H508" s="41" t="s">
        <v>895</v>
      </c>
      <c r="I508" s="76">
        <v>7.3</v>
      </c>
      <c r="J508" s="60">
        <v>0</v>
      </c>
      <c r="K508" s="60">
        <f t="shared" si="84"/>
        <v>0</v>
      </c>
      <c r="L508" s="53" t="s">
        <v>906</v>
      </c>
      <c r="M508" s="17"/>
      <c r="Z508" s="28">
        <f t="shared" si="85"/>
        <v>0</v>
      </c>
      <c r="AB508" s="28">
        <f t="shared" si="86"/>
        <v>0</v>
      </c>
      <c r="AC508" s="28">
        <f t="shared" si="87"/>
        <v>0</v>
      </c>
      <c r="AD508" s="28">
        <f t="shared" si="88"/>
        <v>0</v>
      </c>
      <c r="AE508" s="28">
        <f t="shared" si="89"/>
        <v>0</v>
      </c>
      <c r="AF508" s="28">
        <f t="shared" si="90"/>
        <v>0</v>
      </c>
      <c r="AG508" s="28">
        <f t="shared" si="91"/>
        <v>0</v>
      </c>
      <c r="AH508" s="28">
        <f t="shared" si="92"/>
        <v>0</v>
      </c>
      <c r="AI508" s="56" t="s">
        <v>72</v>
      </c>
      <c r="AJ508" s="60">
        <f t="shared" si="93"/>
        <v>0</v>
      </c>
      <c r="AK508" s="60">
        <f t="shared" si="94"/>
        <v>0</v>
      </c>
      <c r="AL508" s="60">
        <f t="shared" si="95"/>
        <v>0</v>
      </c>
      <c r="AN508" s="28">
        <v>21</v>
      </c>
      <c r="AO508" s="28">
        <f t="shared" si="96"/>
        <v>0</v>
      </c>
      <c r="AP508" s="28">
        <f t="shared" si="97"/>
        <v>0</v>
      </c>
      <c r="AQ508" s="57" t="s">
        <v>82</v>
      </c>
      <c r="AV508" s="28">
        <f t="shared" si="98"/>
        <v>0</v>
      </c>
      <c r="AW508" s="28">
        <f t="shared" si="99"/>
        <v>0</v>
      </c>
      <c r="AX508" s="28">
        <f t="shared" si="100"/>
        <v>0</v>
      </c>
      <c r="AY508" s="59" t="s">
        <v>952</v>
      </c>
      <c r="AZ508" s="59" t="s">
        <v>965</v>
      </c>
      <c r="BA508" s="56" t="s">
        <v>966</v>
      </c>
      <c r="BC508" s="28">
        <f t="shared" si="101"/>
        <v>0</v>
      </c>
      <c r="BD508" s="28">
        <f t="shared" si="102"/>
        <v>0</v>
      </c>
      <c r="BE508" s="28">
        <v>0</v>
      </c>
      <c r="BF508" s="28">
        <f>508</f>
        <v>508</v>
      </c>
      <c r="BH508" s="60">
        <f t="shared" si="103"/>
        <v>0</v>
      </c>
      <c r="BI508" s="60">
        <f t="shared" si="104"/>
        <v>0</v>
      </c>
      <c r="BJ508" s="60">
        <f t="shared" si="105"/>
        <v>0</v>
      </c>
      <c r="BK508" s="60" t="s">
        <v>971</v>
      </c>
      <c r="BL508" s="28"/>
    </row>
    <row r="509" spans="1:64" x14ac:dyDescent="0.25">
      <c r="A509" s="34" t="s">
        <v>259</v>
      </c>
      <c r="B509" s="41" t="s">
        <v>459</v>
      </c>
      <c r="C509" s="146" t="s">
        <v>887</v>
      </c>
      <c r="D509" s="147"/>
      <c r="E509" s="147"/>
      <c r="F509" s="147"/>
      <c r="G509" s="147"/>
      <c r="H509" s="41" t="s">
        <v>895</v>
      </c>
      <c r="I509" s="76">
        <v>10.5</v>
      </c>
      <c r="J509" s="60">
        <v>0</v>
      </c>
      <c r="K509" s="60">
        <f t="shared" si="84"/>
        <v>0</v>
      </c>
      <c r="L509" s="53" t="s">
        <v>906</v>
      </c>
      <c r="M509" s="17"/>
      <c r="Z509" s="28">
        <f t="shared" si="85"/>
        <v>0</v>
      </c>
      <c r="AB509" s="28">
        <f t="shared" si="86"/>
        <v>0</v>
      </c>
      <c r="AC509" s="28">
        <f t="shared" si="87"/>
        <v>0</v>
      </c>
      <c r="AD509" s="28">
        <f t="shared" si="88"/>
        <v>0</v>
      </c>
      <c r="AE509" s="28">
        <f t="shared" si="89"/>
        <v>0</v>
      </c>
      <c r="AF509" s="28">
        <f t="shared" si="90"/>
        <v>0</v>
      </c>
      <c r="AG509" s="28">
        <f t="shared" si="91"/>
        <v>0</v>
      </c>
      <c r="AH509" s="28">
        <f t="shared" si="92"/>
        <v>0</v>
      </c>
      <c r="AI509" s="56" t="s">
        <v>72</v>
      </c>
      <c r="AJ509" s="60">
        <f t="shared" si="93"/>
        <v>0</v>
      </c>
      <c r="AK509" s="60">
        <f t="shared" si="94"/>
        <v>0</v>
      </c>
      <c r="AL509" s="60">
        <f t="shared" si="95"/>
        <v>0</v>
      </c>
      <c r="AN509" s="28">
        <v>21</v>
      </c>
      <c r="AO509" s="28">
        <f t="shared" si="96"/>
        <v>0</v>
      </c>
      <c r="AP509" s="28">
        <f t="shared" si="97"/>
        <v>0</v>
      </c>
      <c r="AQ509" s="57" t="s">
        <v>82</v>
      </c>
      <c r="AV509" s="28">
        <f t="shared" si="98"/>
        <v>0</v>
      </c>
      <c r="AW509" s="28">
        <f t="shared" si="99"/>
        <v>0</v>
      </c>
      <c r="AX509" s="28">
        <f t="shared" si="100"/>
        <v>0</v>
      </c>
      <c r="AY509" s="59" t="s">
        <v>952</v>
      </c>
      <c r="AZ509" s="59" t="s">
        <v>965</v>
      </c>
      <c r="BA509" s="56" t="s">
        <v>966</v>
      </c>
      <c r="BC509" s="28">
        <f t="shared" si="101"/>
        <v>0</v>
      </c>
      <c r="BD509" s="28">
        <f t="shared" si="102"/>
        <v>0</v>
      </c>
      <c r="BE509" s="28">
        <v>0</v>
      </c>
      <c r="BF509" s="28">
        <f>509</f>
        <v>509</v>
      </c>
      <c r="BH509" s="60">
        <f t="shared" si="103"/>
        <v>0</v>
      </c>
      <c r="BI509" s="60">
        <f t="shared" si="104"/>
        <v>0</v>
      </c>
      <c r="BJ509" s="60">
        <f t="shared" si="105"/>
        <v>0</v>
      </c>
      <c r="BK509" s="60" t="s">
        <v>971</v>
      </c>
      <c r="BL509" s="28"/>
    </row>
    <row r="510" spans="1:64" x14ac:dyDescent="0.25">
      <c r="A510" s="34" t="s">
        <v>260</v>
      </c>
      <c r="B510" s="41" t="s">
        <v>460</v>
      </c>
      <c r="C510" s="146" t="s">
        <v>888</v>
      </c>
      <c r="D510" s="147"/>
      <c r="E510" s="147"/>
      <c r="F510" s="147"/>
      <c r="G510" s="147"/>
      <c r="H510" s="41" t="s">
        <v>897</v>
      </c>
      <c r="I510" s="76">
        <v>1</v>
      </c>
      <c r="J510" s="60">
        <v>0</v>
      </c>
      <c r="K510" s="60">
        <f t="shared" si="84"/>
        <v>0</v>
      </c>
      <c r="L510" s="53" t="s">
        <v>906</v>
      </c>
      <c r="M510" s="17"/>
      <c r="Z510" s="28">
        <f t="shared" si="85"/>
        <v>0</v>
      </c>
      <c r="AB510" s="28">
        <f t="shared" si="86"/>
        <v>0</v>
      </c>
      <c r="AC510" s="28">
        <f t="shared" si="87"/>
        <v>0</v>
      </c>
      <c r="AD510" s="28">
        <f t="shared" si="88"/>
        <v>0</v>
      </c>
      <c r="AE510" s="28">
        <f t="shared" si="89"/>
        <v>0</v>
      </c>
      <c r="AF510" s="28">
        <f t="shared" si="90"/>
        <v>0</v>
      </c>
      <c r="AG510" s="28">
        <f t="shared" si="91"/>
        <v>0</v>
      </c>
      <c r="AH510" s="28">
        <f t="shared" si="92"/>
        <v>0</v>
      </c>
      <c r="AI510" s="56" t="s">
        <v>72</v>
      </c>
      <c r="AJ510" s="60">
        <f t="shared" si="93"/>
        <v>0</v>
      </c>
      <c r="AK510" s="60">
        <f t="shared" si="94"/>
        <v>0</v>
      </c>
      <c r="AL510" s="60">
        <f t="shared" si="95"/>
        <v>0</v>
      </c>
      <c r="AN510" s="28">
        <v>21</v>
      </c>
      <c r="AO510" s="28">
        <f t="shared" si="96"/>
        <v>0</v>
      </c>
      <c r="AP510" s="28">
        <f t="shared" si="97"/>
        <v>0</v>
      </c>
      <c r="AQ510" s="57" t="s">
        <v>82</v>
      </c>
      <c r="AV510" s="28">
        <f t="shared" si="98"/>
        <v>0</v>
      </c>
      <c r="AW510" s="28">
        <f t="shared" si="99"/>
        <v>0</v>
      </c>
      <c r="AX510" s="28">
        <f t="shared" si="100"/>
        <v>0</v>
      </c>
      <c r="AY510" s="59" t="s">
        <v>952</v>
      </c>
      <c r="AZ510" s="59" t="s">
        <v>965</v>
      </c>
      <c r="BA510" s="56" t="s">
        <v>966</v>
      </c>
      <c r="BC510" s="28">
        <f t="shared" si="101"/>
        <v>0</v>
      </c>
      <c r="BD510" s="28">
        <f t="shared" si="102"/>
        <v>0</v>
      </c>
      <c r="BE510" s="28">
        <v>0</v>
      </c>
      <c r="BF510" s="28">
        <f>510</f>
        <v>510</v>
      </c>
      <c r="BH510" s="60">
        <f t="shared" si="103"/>
        <v>0</v>
      </c>
      <c r="BI510" s="60">
        <f t="shared" si="104"/>
        <v>0</v>
      </c>
      <c r="BJ510" s="60">
        <f t="shared" si="105"/>
        <v>0</v>
      </c>
      <c r="BK510" s="60" t="s">
        <v>971</v>
      </c>
      <c r="BL510" s="28"/>
    </row>
    <row r="511" spans="1:64" x14ac:dyDescent="0.25">
      <c r="A511" s="34" t="s">
        <v>79</v>
      </c>
      <c r="B511" s="41" t="s">
        <v>461</v>
      </c>
      <c r="C511" s="146" t="s">
        <v>889</v>
      </c>
      <c r="D511" s="147"/>
      <c r="E511" s="147"/>
      <c r="F511" s="147"/>
      <c r="G511" s="147"/>
      <c r="H511" s="41" t="s">
        <v>897</v>
      </c>
      <c r="I511" s="76">
        <v>1</v>
      </c>
      <c r="J511" s="60">
        <v>0</v>
      </c>
      <c r="K511" s="60">
        <f t="shared" si="84"/>
        <v>0</v>
      </c>
      <c r="L511" s="53" t="s">
        <v>906</v>
      </c>
      <c r="M511" s="17"/>
      <c r="Z511" s="28">
        <f t="shared" si="85"/>
        <v>0</v>
      </c>
      <c r="AB511" s="28">
        <f t="shared" si="86"/>
        <v>0</v>
      </c>
      <c r="AC511" s="28">
        <f t="shared" si="87"/>
        <v>0</v>
      </c>
      <c r="AD511" s="28">
        <f t="shared" si="88"/>
        <v>0</v>
      </c>
      <c r="AE511" s="28">
        <f t="shared" si="89"/>
        <v>0</v>
      </c>
      <c r="AF511" s="28">
        <f t="shared" si="90"/>
        <v>0</v>
      </c>
      <c r="AG511" s="28">
        <f t="shared" si="91"/>
        <v>0</v>
      </c>
      <c r="AH511" s="28">
        <f t="shared" si="92"/>
        <v>0</v>
      </c>
      <c r="AI511" s="56" t="s">
        <v>72</v>
      </c>
      <c r="AJ511" s="60">
        <f t="shared" si="93"/>
        <v>0</v>
      </c>
      <c r="AK511" s="60">
        <f t="shared" si="94"/>
        <v>0</v>
      </c>
      <c r="AL511" s="60">
        <f t="shared" si="95"/>
        <v>0</v>
      </c>
      <c r="AN511" s="28">
        <v>21</v>
      </c>
      <c r="AO511" s="28">
        <f t="shared" si="96"/>
        <v>0</v>
      </c>
      <c r="AP511" s="28">
        <f t="shared" si="97"/>
        <v>0</v>
      </c>
      <c r="AQ511" s="57" t="s">
        <v>82</v>
      </c>
      <c r="AV511" s="28">
        <f t="shared" si="98"/>
        <v>0</v>
      </c>
      <c r="AW511" s="28">
        <f t="shared" si="99"/>
        <v>0</v>
      </c>
      <c r="AX511" s="28">
        <f t="shared" si="100"/>
        <v>0</v>
      </c>
      <c r="AY511" s="59" t="s">
        <v>952</v>
      </c>
      <c r="AZ511" s="59" t="s">
        <v>965</v>
      </c>
      <c r="BA511" s="56" t="s">
        <v>966</v>
      </c>
      <c r="BC511" s="28">
        <f t="shared" si="101"/>
        <v>0</v>
      </c>
      <c r="BD511" s="28">
        <f t="shared" si="102"/>
        <v>0</v>
      </c>
      <c r="BE511" s="28">
        <v>0</v>
      </c>
      <c r="BF511" s="28">
        <f>511</f>
        <v>511</v>
      </c>
      <c r="BH511" s="60">
        <f t="shared" si="103"/>
        <v>0</v>
      </c>
      <c r="BI511" s="60">
        <f t="shared" si="104"/>
        <v>0</v>
      </c>
      <c r="BJ511" s="60">
        <f t="shared" si="105"/>
        <v>0</v>
      </c>
      <c r="BK511" s="60" t="s">
        <v>971</v>
      </c>
      <c r="BL511" s="28"/>
    </row>
    <row r="512" spans="1:64" x14ac:dyDescent="0.25">
      <c r="A512" s="71"/>
      <c r="B512" s="72"/>
      <c r="C512" s="167" t="s">
        <v>61</v>
      </c>
      <c r="D512" s="168"/>
      <c r="E512" s="168"/>
      <c r="F512" s="168"/>
      <c r="G512" s="168"/>
      <c r="H512" s="73" t="s">
        <v>58</v>
      </c>
      <c r="I512" s="73" t="s">
        <v>58</v>
      </c>
      <c r="J512" s="73" t="s">
        <v>58</v>
      </c>
      <c r="K512" s="75">
        <f>K513</f>
        <v>0</v>
      </c>
      <c r="L512" s="74"/>
      <c r="M512" s="17"/>
    </row>
    <row r="513" spans="1:64" x14ac:dyDescent="0.25">
      <c r="A513" s="33"/>
      <c r="B513" s="40" t="s">
        <v>140</v>
      </c>
      <c r="C513" s="144" t="s">
        <v>977</v>
      </c>
      <c r="D513" s="145"/>
      <c r="E513" s="145"/>
      <c r="F513" s="145"/>
      <c r="G513" s="145"/>
      <c r="H513" s="46" t="s">
        <v>58</v>
      </c>
      <c r="I513" s="46" t="s">
        <v>58</v>
      </c>
      <c r="J513" s="46" t="s">
        <v>58</v>
      </c>
      <c r="K513" s="65">
        <f>SUM(K514:K514)</f>
        <v>0</v>
      </c>
      <c r="L513" s="52"/>
      <c r="M513" s="17"/>
      <c r="AI513" s="56" t="s">
        <v>73</v>
      </c>
      <c r="AS513" s="65">
        <f>SUM(AJ514:AJ514)</f>
        <v>0</v>
      </c>
      <c r="AT513" s="65">
        <f>SUM(AK514:AK514)</f>
        <v>0</v>
      </c>
      <c r="AU513" s="65">
        <f>SUM(AL514:AL514)</f>
        <v>0</v>
      </c>
    </row>
    <row r="514" spans="1:64" x14ac:dyDescent="0.25">
      <c r="A514" s="34" t="s">
        <v>1044</v>
      </c>
      <c r="B514" s="41" t="s">
        <v>976</v>
      </c>
      <c r="C514" s="146" t="s">
        <v>978</v>
      </c>
      <c r="D514" s="147"/>
      <c r="E514" s="147"/>
      <c r="F514" s="147"/>
      <c r="G514" s="147"/>
      <c r="H514" s="41" t="s">
        <v>891</v>
      </c>
      <c r="I514" s="76">
        <v>126.84</v>
      </c>
      <c r="J514" s="60">
        <v>0</v>
      </c>
      <c r="K514" s="60">
        <f>I514*J514</f>
        <v>0</v>
      </c>
      <c r="L514" s="53" t="s">
        <v>906</v>
      </c>
      <c r="M514" s="17"/>
      <c r="Z514" s="28">
        <f>IF(AQ514="5",BJ514,0)</f>
        <v>0</v>
      </c>
      <c r="AB514" s="28">
        <f>IF(AQ514="1",BH514,0)</f>
        <v>0</v>
      </c>
      <c r="AC514" s="28">
        <f>IF(AQ514="1",BI514,0)</f>
        <v>0</v>
      </c>
      <c r="AD514" s="28">
        <f>IF(AQ514="7",BH514,0)</f>
        <v>0</v>
      </c>
      <c r="AE514" s="28">
        <f>IF(AQ514="7",BI514,0)</f>
        <v>0</v>
      </c>
      <c r="AF514" s="28">
        <f>IF(AQ514="2",BH514,0)</f>
        <v>0</v>
      </c>
      <c r="AG514" s="28">
        <f>IF(AQ514="2",BI514,0)</f>
        <v>0</v>
      </c>
      <c r="AH514" s="28">
        <f>IF(AQ514="0",BJ514,0)</f>
        <v>0</v>
      </c>
      <c r="AI514" s="56" t="s">
        <v>73</v>
      </c>
      <c r="AJ514" s="60">
        <f>IF(AN514=0,K514,0)</f>
        <v>0</v>
      </c>
      <c r="AK514" s="60">
        <f>IF(AN514=15,K514,0)</f>
        <v>0</v>
      </c>
      <c r="AL514" s="60">
        <f>IF(AN514=21,K514,0)</f>
        <v>0</v>
      </c>
      <c r="AN514" s="28">
        <v>21</v>
      </c>
      <c r="AO514" s="28">
        <f>J514*0.519390471614313</f>
        <v>0</v>
      </c>
      <c r="AP514" s="28">
        <f>J514*(1-0.519390471614313)</f>
        <v>0</v>
      </c>
      <c r="AQ514" s="57" t="s">
        <v>82</v>
      </c>
      <c r="AV514" s="28">
        <f>AW514+AX514</f>
        <v>0</v>
      </c>
      <c r="AW514" s="28">
        <f>I514*AO514</f>
        <v>0</v>
      </c>
      <c r="AX514" s="28">
        <f>I514*AP514</f>
        <v>0</v>
      </c>
      <c r="AY514" s="59" t="s">
        <v>981</v>
      </c>
      <c r="AZ514" s="59" t="s">
        <v>982</v>
      </c>
      <c r="BA514" s="56" t="s">
        <v>983</v>
      </c>
      <c r="BC514" s="28">
        <f>AW514+AX514</f>
        <v>0</v>
      </c>
      <c r="BD514" s="28">
        <f>J514/(100-BE514)*100</f>
        <v>0</v>
      </c>
      <c r="BE514" s="28">
        <v>0</v>
      </c>
      <c r="BF514" s="28">
        <f>514</f>
        <v>514</v>
      </c>
      <c r="BH514" s="60">
        <f>I514*AO514</f>
        <v>0</v>
      </c>
      <c r="BI514" s="60">
        <f>I514*AP514</f>
        <v>0</v>
      </c>
      <c r="BJ514" s="60">
        <f>I514*J514</f>
        <v>0</v>
      </c>
      <c r="BK514" s="60" t="s">
        <v>971</v>
      </c>
      <c r="BL514" s="28">
        <v>59</v>
      </c>
    </row>
    <row r="515" spans="1:64" x14ac:dyDescent="0.25">
      <c r="A515" s="17"/>
      <c r="B515" s="42" t="s">
        <v>265</v>
      </c>
      <c r="C515" s="150" t="s">
        <v>979</v>
      </c>
      <c r="D515" s="151"/>
      <c r="E515" s="151"/>
      <c r="F515" s="151"/>
      <c r="G515" s="151"/>
      <c r="H515" s="151"/>
      <c r="I515" s="151"/>
      <c r="J515" s="151"/>
      <c r="K515" s="151"/>
      <c r="L515" s="152"/>
      <c r="M515" s="17"/>
    </row>
    <row r="516" spans="1:64" x14ac:dyDescent="0.25">
      <c r="A516" s="17"/>
      <c r="C516" s="148" t="s">
        <v>980</v>
      </c>
      <c r="D516" s="149"/>
      <c r="E516" s="149"/>
      <c r="F516" s="149"/>
      <c r="G516" s="149"/>
      <c r="I516" s="77">
        <v>126.84</v>
      </c>
      <c r="L516" s="14"/>
      <c r="M516" s="17"/>
    </row>
    <row r="517" spans="1:64" x14ac:dyDescent="0.25">
      <c r="A517" s="71"/>
      <c r="B517" s="72"/>
      <c r="C517" s="167" t="s">
        <v>62</v>
      </c>
      <c r="D517" s="168"/>
      <c r="E517" s="168"/>
      <c r="F517" s="168"/>
      <c r="G517" s="168"/>
      <c r="H517" s="73" t="s">
        <v>58</v>
      </c>
      <c r="I517" s="73" t="s">
        <v>58</v>
      </c>
      <c r="J517" s="73" t="s">
        <v>58</v>
      </c>
      <c r="K517" s="75">
        <f>K518+K524+K526</f>
        <v>0</v>
      </c>
      <c r="L517" s="74"/>
      <c r="M517" s="17"/>
    </row>
    <row r="518" spans="1:64" x14ac:dyDescent="0.25">
      <c r="A518" s="33"/>
      <c r="B518" s="40" t="s">
        <v>164</v>
      </c>
      <c r="C518" s="144" t="s">
        <v>990</v>
      </c>
      <c r="D518" s="145"/>
      <c r="E518" s="145"/>
      <c r="F518" s="145"/>
      <c r="G518" s="145"/>
      <c r="H518" s="46" t="s">
        <v>58</v>
      </c>
      <c r="I518" s="46" t="s">
        <v>58</v>
      </c>
      <c r="J518" s="46" t="s">
        <v>58</v>
      </c>
      <c r="K518" s="65">
        <f>SUM(K519:K521)</f>
        <v>0</v>
      </c>
      <c r="L518" s="52"/>
      <c r="M518" s="17"/>
      <c r="AI518" s="56" t="s">
        <v>74</v>
      </c>
      <c r="AS518" s="65">
        <f>SUM(AJ519:AJ521)</f>
        <v>0</v>
      </c>
      <c r="AT518" s="65">
        <f>SUM(AK519:AK521)</f>
        <v>0</v>
      </c>
      <c r="AU518" s="65">
        <f>SUM(AL519:AL521)</f>
        <v>0</v>
      </c>
    </row>
    <row r="519" spans="1:64" x14ac:dyDescent="0.25">
      <c r="A519" s="34" t="s">
        <v>1045</v>
      </c>
      <c r="B519" s="41" t="s">
        <v>986</v>
      </c>
      <c r="C519" s="146" t="s">
        <v>991</v>
      </c>
      <c r="D519" s="147"/>
      <c r="E519" s="147"/>
      <c r="F519" s="147"/>
      <c r="G519" s="147"/>
      <c r="H519" s="41" t="s">
        <v>895</v>
      </c>
      <c r="I519" s="76">
        <v>26.5</v>
      </c>
      <c r="J519" s="60">
        <v>0</v>
      </c>
      <c r="K519" s="60">
        <f>I519*J519</f>
        <v>0</v>
      </c>
      <c r="L519" s="53" t="s">
        <v>906</v>
      </c>
      <c r="M519" s="17"/>
      <c r="Z519" s="28">
        <f>IF(AQ519="5",BJ519,0)</f>
        <v>0</v>
      </c>
      <c r="AB519" s="28">
        <f>IF(AQ519="1",BH519,0)</f>
        <v>0</v>
      </c>
      <c r="AC519" s="28">
        <f>IF(AQ519="1",BI519,0)</f>
        <v>0</v>
      </c>
      <c r="AD519" s="28">
        <f>IF(AQ519="7",BH519,0)</f>
        <v>0</v>
      </c>
      <c r="AE519" s="28">
        <f>IF(AQ519="7",BI519,0)</f>
        <v>0</v>
      </c>
      <c r="AF519" s="28">
        <f>IF(AQ519="2",BH519,0)</f>
        <v>0</v>
      </c>
      <c r="AG519" s="28">
        <f>IF(AQ519="2",BI519,0)</f>
        <v>0</v>
      </c>
      <c r="AH519" s="28">
        <f>IF(AQ519="0",BJ519,0)</f>
        <v>0</v>
      </c>
      <c r="AI519" s="56" t="s">
        <v>74</v>
      </c>
      <c r="AJ519" s="60">
        <f>IF(AN519=0,K519,0)</f>
        <v>0</v>
      </c>
      <c r="AK519" s="60">
        <f>IF(AN519=15,K519,0)</f>
        <v>0</v>
      </c>
      <c r="AL519" s="60">
        <f>IF(AN519=21,K519,0)</f>
        <v>0</v>
      </c>
      <c r="AN519" s="28">
        <v>21</v>
      </c>
      <c r="AO519" s="28">
        <f>J519*0.288072646404744</f>
        <v>0</v>
      </c>
      <c r="AP519" s="28">
        <f>J519*(1-0.288072646404744)</f>
        <v>0</v>
      </c>
      <c r="AQ519" s="57" t="s">
        <v>82</v>
      </c>
      <c r="AV519" s="28">
        <f>AW519+AX519</f>
        <v>0</v>
      </c>
      <c r="AW519" s="28">
        <f>I519*AO519</f>
        <v>0</v>
      </c>
      <c r="AX519" s="28">
        <f>I519*AP519</f>
        <v>0</v>
      </c>
      <c r="AY519" s="59" t="s">
        <v>999</v>
      </c>
      <c r="AZ519" s="59" t="s">
        <v>1001</v>
      </c>
      <c r="BA519" s="56" t="s">
        <v>1003</v>
      </c>
      <c r="BC519" s="28">
        <f>AW519+AX519</f>
        <v>0</v>
      </c>
      <c r="BD519" s="28">
        <f>J519/(100-BE519)*100</f>
        <v>0</v>
      </c>
      <c r="BE519" s="28">
        <v>0</v>
      </c>
      <c r="BF519" s="28">
        <f>519</f>
        <v>519</v>
      </c>
      <c r="BH519" s="60">
        <f>I519*AO519</f>
        <v>0</v>
      </c>
      <c r="BI519" s="60">
        <f>I519*AP519</f>
        <v>0</v>
      </c>
      <c r="BJ519" s="60">
        <f>I519*J519</f>
        <v>0</v>
      </c>
      <c r="BK519" s="60" t="s">
        <v>971</v>
      </c>
      <c r="BL519" s="28">
        <v>83</v>
      </c>
    </row>
    <row r="520" spans="1:64" x14ac:dyDescent="0.25">
      <c r="A520" s="17"/>
      <c r="C520" s="148" t="s">
        <v>992</v>
      </c>
      <c r="D520" s="149"/>
      <c r="E520" s="149"/>
      <c r="F520" s="149"/>
      <c r="G520" s="149"/>
      <c r="I520" s="77">
        <v>26.5</v>
      </c>
      <c r="L520" s="14"/>
      <c r="M520" s="17"/>
    </row>
    <row r="521" spans="1:64" x14ac:dyDescent="0.25">
      <c r="A521" s="34" t="s">
        <v>1046</v>
      </c>
      <c r="B521" s="41" t="s">
        <v>987</v>
      </c>
      <c r="C521" s="146" t="s">
        <v>993</v>
      </c>
      <c r="D521" s="147"/>
      <c r="E521" s="147"/>
      <c r="F521" s="147"/>
      <c r="G521" s="147"/>
      <c r="H521" s="41" t="s">
        <v>895</v>
      </c>
      <c r="I521" s="76">
        <v>5</v>
      </c>
      <c r="J521" s="60">
        <v>0</v>
      </c>
      <c r="K521" s="60">
        <f>I521*J521</f>
        <v>0</v>
      </c>
      <c r="L521" s="53" t="s">
        <v>906</v>
      </c>
      <c r="M521" s="17"/>
      <c r="Z521" s="28">
        <f>IF(AQ521="5",BJ521,0)</f>
        <v>0</v>
      </c>
      <c r="AB521" s="28">
        <f>IF(AQ521="1",BH521,0)</f>
        <v>0</v>
      </c>
      <c r="AC521" s="28">
        <f>IF(AQ521="1",BI521,0)</f>
        <v>0</v>
      </c>
      <c r="AD521" s="28">
        <f>IF(AQ521="7",BH521,0)</f>
        <v>0</v>
      </c>
      <c r="AE521" s="28">
        <f>IF(AQ521="7",BI521,0)</f>
        <v>0</v>
      </c>
      <c r="AF521" s="28">
        <f>IF(AQ521="2",BH521,0)</f>
        <v>0</v>
      </c>
      <c r="AG521" s="28">
        <f>IF(AQ521="2",BI521,0)</f>
        <v>0</v>
      </c>
      <c r="AH521" s="28">
        <f>IF(AQ521="0",BJ521,0)</f>
        <v>0</v>
      </c>
      <c r="AI521" s="56" t="s">
        <v>74</v>
      </c>
      <c r="AJ521" s="60">
        <f>IF(AN521=0,K521,0)</f>
        <v>0</v>
      </c>
      <c r="AK521" s="60">
        <f>IF(AN521=15,K521,0)</f>
        <v>0</v>
      </c>
      <c r="AL521" s="60">
        <f>IF(AN521=21,K521,0)</f>
        <v>0</v>
      </c>
      <c r="AN521" s="28">
        <v>21</v>
      </c>
      <c r="AO521" s="28">
        <f>J521*0.20273321858864</f>
        <v>0</v>
      </c>
      <c r="AP521" s="28">
        <f>J521*(1-0.20273321858864)</f>
        <v>0</v>
      </c>
      <c r="AQ521" s="57" t="s">
        <v>82</v>
      </c>
      <c r="AV521" s="28">
        <f>AW521+AX521</f>
        <v>0</v>
      </c>
      <c r="AW521" s="28">
        <f>I521*AO521</f>
        <v>0</v>
      </c>
      <c r="AX521" s="28">
        <f>I521*AP521</f>
        <v>0</v>
      </c>
      <c r="AY521" s="59" t="s">
        <v>999</v>
      </c>
      <c r="AZ521" s="59" t="s">
        <v>1001</v>
      </c>
      <c r="BA521" s="56" t="s">
        <v>1003</v>
      </c>
      <c r="BC521" s="28">
        <f>AW521+AX521</f>
        <v>0</v>
      </c>
      <c r="BD521" s="28">
        <f>J521/(100-BE521)*100</f>
        <v>0</v>
      </c>
      <c r="BE521" s="28">
        <v>0</v>
      </c>
      <c r="BF521" s="28">
        <f>521</f>
        <v>521</v>
      </c>
      <c r="BH521" s="60">
        <f>I521*AO521</f>
        <v>0</v>
      </c>
      <c r="BI521" s="60">
        <f>I521*AP521</f>
        <v>0</v>
      </c>
      <c r="BJ521" s="60">
        <f>I521*J521</f>
        <v>0</v>
      </c>
      <c r="BK521" s="60" t="s">
        <v>971</v>
      </c>
      <c r="BL521" s="28">
        <v>83</v>
      </c>
    </row>
    <row r="522" spans="1:64" x14ac:dyDescent="0.25">
      <c r="A522" s="17"/>
      <c r="B522" s="42" t="s">
        <v>265</v>
      </c>
      <c r="C522" s="150" t="s">
        <v>994</v>
      </c>
      <c r="D522" s="151"/>
      <c r="E522" s="151"/>
      <c r="F522" s="151"/>
      <c r="G522" s="151"/>
      <c r="H522" s="151"/>
      <c r="I522" s="151"/>
      <c r="J522" s="151"/>
      <c r="K522" s="151"/>
      <c r="L522" s="152"/>
      <c r="M522" s="17"/>
    </row>
    <row r="523" spans="1:64" x14ac:dyDescent="0.25">
      <c r="A523" s="17"/>
      <c r="C523" s="148" t="s">
        <v>995</v>
      </c>
      <c r="D523" s="149"/>
      <c r="E523" s="149"/>
      <c r="F523" s="149"/>
      <c r="G523" s="149"/>
      <c r="I523" s="77">
        <v>5</v>
      </c>
      <c r="L523" s="14"/>
      <c r="M523" s="17"/>
    </row>
    <row r="524" spans="1:64" x14ac:dyDescent="0.25">
      <c r="A524" s="33"/>
      <c r="B524" s="40" t="s">
        <v>170</v>
      </c>
      <c r="C524" s="144" t="s">
        <v>996</v>
      </c>
      <c r="D524" s="145"/>
      <c r="E524" s="145"/>
      <c r="F524" s="145"/>
      <c r="G524" s="145"/>
      <c r="H524" s="46" t="s">
        <v>58</v>
      </c>
      <c r="I524" s="46" t="s">
        <v>58</v>
      </c>
      <c r="J524" s="46" t="s">
        <v>58</v>
      </c>
      <c r="K524" s="65">
        <f>SUM(K525:K525)</f>
        <v>0</v>
      </c>
      <c r="L524" s="52"/>
      <c r="M524" s="17"/>
      <c r="AI524" s="56" t="s">
        <v>74</v>
      </c>
      <c r="AS524" s="65">
        <f>SUM(AJ525:AJ525)</f>
        <v>0</v>
      </c>
      <c r="AT524" s="65">
        <f>SUM(AK525:AK525)</f>
        <v>0</v>
      </c>
      <c r="AU524" s="65">
        <f>SUM(AL525:AL525)</f>
        <v>0</v>
      </c>
    </row>
    <row r="525" spans="1:64" x14ac:dyDescent="0.25">
      <c r="A525" s="34" t="s">
        <v>1047</v>
      </c>
      <c r="B525" s="41" t="s">
        <v>988</v>
      </c>
      <c r="C525" s="146" t="s">
        <v>997</v>
      </c>
      <c r="D525" s="147"/>
      <c r="E525" s="147"/>
      <c r="F525" s="147"/>
      <c r="G525" s="147"/>
      <c r="H525" s="41" t="s">
        <v>894</v>
      </c>
      <c r="I525" s="76">
        <v>1</v>
      </c>
      <c r="J525" s="60">
        <v>0</v>
      </c>
      <c r="K525" s="60">
        <f>I525*J525</f>
        <v>0</v>
      </c>
      <c r="L525" s="53" t="s">
        <v>906</v>
      </c>
      <c r="M525" s="17"/>
      <c r="Z525" s="28">
        <f>IF(AQ525="5",BJ525,0)</f>
        <v>0</v>
      </c>
      <c r="AB525" s="28">
        <f>IF(AQ525="1",BH525,0)</f>
        <v>0</v>
      </c>
      <c r="AC525" s="28">
        <f>IF(AQ525="1",BI525,0)</f>
        <v>0</v>
      </c>
      <c r="AD525" s="28">
        <f>IF(AQ525="7",BH525,0)</f>
        <v>0</v>
      </c>
      <c r="AE525" s="28">
        <f>IF(AQ525="7",BI525,0)</f>
        <v>0</v>
      </c>
      <c r="AF525" s="28">
        <f>IF(AQ525="2",BH525,0)</f>
        <v>0</v>
      </c>
      <c r="AG525" s="28">
        <f>IF(AQ525="2",BI525,0)</f>
        <v>0</v>
      </c>
      <c r="AH525" s="28">
        <f>IF(AQ525="0",BJ525,0)</f>
        <v>0</v>
      </c>
      <c r="AI525" s="56" t="s">
        <v>74</v>
      </c>
      <c r="AJ525" s="60">
        <f>IF(AN525=0,K525,0)</f>
        <v>0</v>
      </c>
      <c r="AK525" s="60">
        <f>IF(AN525=15,K525,0)</f>
        <v>0</v>
      </c>
      <c r="AL525" s="60">
        <f>IF(AN525=21,K525,0)</f>
        <v>0</v>
      </c>
      <c r="AN525" s="28">
        <v>21</v>
      </c>
      <c r="AO525" s="28">
        <f>J525*0.887614830072091</f>
        <v>0</v>
      </c>
      <c r="AP525" s="28">
        <f>J525*(1-0.887614830072091)</f>
        <v>0</v>
      </c>
      <c r="AQ525" s="57" t="s">
        <v>82</v>
      </c>
      <c r="AV525" s="28">
        <f>AW525+AX525</f>
        <v>0</v>
      </c>
      <c r="AW525" s="28">
        <f>I525*AO525</f>
        <v>0</v>
      </c>
      <c r="AX525" s="28">
        <f>I525*AP525</f>
        <v>0</v>
      </c>
      <c r="AY525" s="59" t="s">
        <v>1000</v>
      </c>
      <c r="AZ525" s="59" t="s">
        <v>1001</v>
      </c>
      <c r="BA525" s="56" t="s">
        <v>1003</v>
      </c>
      <c r="BC525" s="28">
        <f>AW525+AX525</f>
        <v>0</v>
      </c>
      <c r="BD525" s="28">
        <f>J525/(100-BE525)*100</f>
        <v>0</v>
      </c>
      <c r="BE525" s="28">
        <v>0</v>
      </c>
      <c r="BF525" s="28">
        <f>525</f>
        <v>525</v>
      </c>
      <c r="BH525" s="60">
        <f>I525*AO525</f>
        <v>0</v>
      </c>
      <c r="BI525" s="60">
        <f>I525*AP525</f>
        <v>0</v>
      </c>
      <c r="BJ525" s="60">
        <f>I525*J525</f>
        <v>0</v>
      </c>
      <c r="BK525" s="60" t="s">
        <v>971</v>
      </c>
      <c r="BL525" s="28">
        <v>89</v>
      </c>
    </row>
    <row r="526" spans="1:64" x14ac:dyDescent="0.25">
      <c r="A526" s="33"/>
      <c r="B526" s="40"/>
      <c r="C526" s="144" t="s">
        <v>883</v>
      </c>
      <c r="D526" s="145"/>
      <c r="E526" s="145"/>
      <c r="F526" s="145"/>
      <c r="G526" s="145"/>
      <c r="H526" s="46" t="s">
        <v>58</v>
      </c>
      <c r="I526" s="46" t="s">
        <v>58</v>
      </c>
      <c r="J526" s="46" t="s">
        <v>58</v>
      </c>
      <c r="K526" s="65">
        <f>SUM(K527:K527)</f>
        <v>0</v>
      </c>
      <c r="L526" s="52"/>
      <c r="M526" s="17"/>
      <c r="AI526" s="56" t="s">
        <v>74</v>
      </c>
      <c r="AS526" s="65">
        <f>SUM(AJ527:AJ527)</f>
        <v>0</v>
      </c>
      <c r="AT526" s="65">
        <f>SUM(AK527:AK527)</f>
        <v>0</v>
      </c>
      <c r="AU526" s="65">
        <f>SUM(AL527:AL527)</f>
        <v>0</v>
      </c>
    </row>
    <row r="527" spans="1:64" x14ac:dyDescent="0.25">
      <c r="A527" s="34" t="s">
        <v>1048</v>
      </c>
      <c r="B527" s="41" t="s">
        <v>989</v>
      </c>
      <c r="C527" s="146" t="s">
        <v>998</v>
      </c>
      <c r="D527" s="147"/>
      <c r="E527" s="147"/>
      <c r="F527" s="147"/>
      <c r="G527" s="147"/>
      <c r="H527" s="41" t="s">
        <v>897</v>
      </c>
      <c r="I527" s="76">
        <v>1</v>
      </c>
      <c r="J527" s="60">
        <v>0</v>
      </c>
      <c r="K527" s="60">
        <f>I527*J527</f>
        <v>0</v>
      </c>
      <c r="L527" s="53" t="s">
        <v>906</v>
      </c>
      <c r="M527" s="17"/>
      <c r="Z527" s="28">
        <f>IF(AQ527="5",BJ527,0)</f>
        <v>0</v>
      </c>
      <c r="AB527" s="28">
        <f>IF(AQ527="1",BH527,0)</f>
        <v>0</v>
      </c>
      <c r="AC527" s="28">
        <f>IF(AQ527="1",BI527,0)</f>
        <v>0</v>
      </c>
      <c r="AD527" s="28">
        <f>IF(AQ527="7",BH527,0)</f>
        <v>0</v>
      </c>
      <c r="AE527" s="28">
        <f>IF(AQ527="7",BI527,0)</f>
        <v>0</v>
      </c>
      <c r="AF527" s="28">
        <f>IF(AQ527="2",BH527,0)</f>
        <v>0</v>
      </c>
      <c r="AG527" s="28">
        <f>IF(AQ527="2",BI527,0)</f>
        <v>0</v>
      </c>
      <c r="AH527" s="28">
        <f>IF(AQ527="0",BJ527,0)</f>
        <v>0</v>
      </c>
      <c r="AI527" s="56" t="s">
        <v>74</v>
      </c>
      <c r="AJ527" s="60">
        <f>IF(AN527=0,K527,0)</f>
        <v>0</v>
      </c>
      <c r="AK527" s="60">
        <f>IF(AN527=15,K527,0)</f>
        <v>0</v>
      </c>
      <c r="AL527" s="60">
        <f>IF(AN527=21,K527,0)</f>
        <v>0</v>
      </c>
      <c r="AN527" s="28">
        <v>21</v>
      </c>
      <c r="AO527" s="28">
        <f>J527*1</f>
        <v>0</v>
      </c>
      <c r="AP527" s="28">
        <f>J527*(1-1)</f>
        <v>0</v>
      </c>
      <c r="AQ527" s="57" t="s">
        <v>82</v>
      </c>
      <c r="AV527" s="28">
        <f>AW527+AX527</f>
        <v>0</v>
      </c>
      <c r="AW527" s="28">
        <f>I527*AO527</f>
        <v>0</v>
      </c>
      <c r="AX527" s="28">
        <f>I527*AP527</f>
        <v>0</v>
      </c>
      <c r="AY527" s="59" t="s">
        <v>952</v>
      </c>
      <c r="AZ527" s="59" t="s">
        <v>1002</v>
      </c>
      <c r="BA527" s="56" t="s">
        <v>1003</v>
      </c>
      <c r="BC527" s="28">
        <f>AW527+AX527</f>
        <v>0</v>
      </c>
      <c r="BD527" s="28">
        <f>J527/(100-BE527)*100</f>
        <v>0</v>
      </c>
      <c r="BE527" s="28">
        <v>0</v>
      </c>
      <c r="BF527" s="28">
        <f>527</f>
        <v>527</v>
      </c>
      <c r="BH527" s="60">
        <f>I527*AO527</f>
        <v>0</v>
      </c>
      <c r="BI527" s="60">
        <f>I527*AP527</f>
        <v>0</v>
      </c>
      <c r="BJ527" s="60">
        <f>I527*J527</f>
        <v>0</v>
      </c>
      <c r="BK527" s="60" t="s">
        <v>971</v>
      </c>
      <c r="BL527" s="28"/>
    </row>
    <row r="528" spans="1:64" x14ac:dyDescent="0.25">
      <c r="A528" s="71"/>
      <c r="B528" s="72"/>
      <c r="C528" s="167" t="s">
        <v>63</v>
      </c>
      <c r="D528" s="168"/>
      <c r="E528" s="168"/>
      <c r="F528" s="168"/>
      <c r="G528" s="168"/>
      <c r="H528" s="73" t="s">
        <v>58</v>
      </c>
      <c r="I528" s="73" t="s">
        <v>58</v>
      </c>
      <c r="J528" s="73" t="s">
        <v>58</v>
      </c>
      <c r="K528" s="75">
        <f>K529+K532+K534+K537+K539</f>
        <v>0</v>
      </c>
      <c r="L528" s="74"/>
      <c r="M528" s="17"/>
    </row>
    <row r="529" spans="1:64" x14ac:dyDescent="0.25">
      <c r="A529" s="33"/>
      <c r="B529" s="40" t="s">
        <v>94</v>
      </c>
      <c r="C529" s="144" t="s">
        <v>470</v>
      </c>
      <c r="D529" s="145"/>
      <c r="E529" s="145"/>
      <c r="F529" s="145"/>
      <c r="G529" s="145"/>
      <c r="H529" s="46" t="s">
        <v>58</v>
      </c>
      <c r="I529" s="46" t="s">
        <v>58</v>
      </c>
      <c r="J529" s="46" t="s">
        <v>58</v>
      </c>
      <c r="K529" s="65">
        <f>SUM(K530:K530)</f>
        <v>0</v>
      </c>
      <c r="L529" s="52"/>
      <c r="M529" s="17"/>
      <c r="AI529" s="56" t="s">
        <v>75</v>
      </c>
      <c r="AS529" s="65">
        <f>SUM(AJ530:AJ530)</f>
        <v>0</v>
      </c>
      <c r="AT529" s="65">
        <f>SUM(AK530:AK530)</f>
        <v>0</v>
      </c>
      <c r="AU529" s="65">
        <f>SUM(AL530:AL530)</f>
        <v>0</v>
      </c>
    </row>
    <row r="530" spans="1:64" x14ac:dyDescent="0.25">
      <c r="A530" s="34" t="s">
        <v>1049</v>
      </c>
      <c r="B530" s="41" t="s">
        <v>1006</v>
      </c>
      <c r="C530" s="146" t="s">
        <v>1010</v>
      </c>
      <c r="D530" s="147"/>
      <c r="E530" s="147"/>
      <c r="F530" s="147"/>
      <c r="G530" s="147"/>
      <c r="H530" s="41" t="s">
        <v>892</v>
      </c>
      <c r="I530" s="76">
        <v>4.8</v>
      </c>
      <c r="J530" s="60">
        <v>0</v>
      </c>
      <c r="K530" s="60">
        <f>I530*J530</f>
        <v>0</v>
      </c>
      <c r="L530" s="53" t="s">
        <v>906</v>
      </c>
      <c r="M530" s="17"/>
      <c r="Z530" s="28">
        <f>IF(AQ530="5",BJ530,0)</f>
        <v>0</v>
      </c>
      <c r="AB530" s="28">
        <f>IF(AQ530="1",BH530,0)</f>
        <v>0</v>
      </c>
      <c r="AC530" s="28">
        <f>IF(AQ530="1",BI530,0)</f>
        <v>0</v>
      </c>
      <c r="AD530" s="28">
        <f>IF(AQ530="7",BH530,0)</f>
        <v>0</v>
      </c>
      <c r="AE530" s="28">
        <f>IF(AQ530="7",BI530,0)</f>
        <v>0</v>
      </c>
      <c r="AF530" s="28">
        <f>IF(AQ530="2",BH530,0)</f>
        <v>0</v>
      </c>
      <c r="AG530" s="28">
        <f>IF(AQ530="2",BI530,0)</f>
        <v>0</v>
      </c>
      <c r="AH530" s="28">
        <f>IF(AQ530="0",BJ530,0)</f>
        <v>0</v>
      </c>
      <c r="AI530" s="56" t="s">
        <v>75</v>
      </c>
      <c r="AJ530" s="60">
        <f>IF(AN530=0,K530,0)</f>
        <v>0</v>
      </c>
      <c r="AK530" s="60">
        <f>IF(AN530=15,K530,0)</f>
        <v>0</v>
      </c>
      <c r="AL530" s="60">
        <f>IF(AN530=21,K530,0)</f>
        <v>0</v>
      </c>
      <c r="AN530" s="28">
        <v>21</v>
      </c>
      <c r="AO530" s="28">
        <f>J530*0</f>
        <v>0</v>
      </c>
      <c r="AP530" s="28">
        <f>J530*(1-0)</f>
        <v>0</v>
      </c>
      <c r="AQ530" s="57" t="s">
        <v>82</v>
      </c>
      <c r="AV530" s="28">
        <f>AW530+AX530</f>
        <v>0</v>
      </c>
      <c r="AW530" s="28">
        <f>I530*AO530</f>
        <v>0</v>
      </c>
      <c r="AX530" s="28">
        <f>I530*AP530</f>
        <v>0</v>
      </c>
      <c r="AY530" s="59" t="s">
        <v>918</v>
      </c>
      <c r="AZ530" s="59" t="s">
        <v>1018</v>
      </c>
      <c r="BA530" s="56" t="s">
        <v>1022</v>
      </c>
      <c r="BC530" s="28">
        <f>AW530+AX530</f>
        <v>0</v>
      </c>
      <c r="BD530" s="28">
        <f>J530/(100-BE530)*100</f>
        <v>0</v>
      </c>
      <c r="BE530" s="28">
        <v>0</v>
      </c>
      <c r="BF530" s="28">
        <f>530</f>
        <v>530</v>
      </c>
      <c r="BH530" s="60">
        <f>I530*AO530</f>
        <v>0</v>
      </c>
      <c r="BI530" s="60">
        <f>I530*AP530</f>
        <v>0</v>
      </c>
      <c r="BJ530" s="60">
        <f>I530*J530</f>
        <v>0</v>
      </c>
      <c r="BK530" s="60" t="s">
        <v>971</v>
      </c>
      <c r="BL530" s="28">
        <v>13</v>
      </c>
    </row>
    <row r="531" spans="1:64" x14ac:dyDescent="0.25">
      <c r="A531" s="17"/>
      <c r="C531" s="148" t="s">
        <v>1011</v>
      </c>
      <c r="D531" s="149"/>
      <c r="E531" s="149"/>
      <c r="F531" s="149"/>
      <c r="G531" s="149"/>
      <c r="I531" s="77">
        <v>4.8</v>
      </c>
      <c r="L531" s="14"/>
      <c r="M531" s="17"/>
    </row>
    <row r="532" spans="1:64" x14ac:dyDescent="0.25">
      <c r="A532" s="33"/>
      <c r="B532" s="40" t="s">
        <v>126</v>
      </c>
      <c r="C532" s="144" t="s">
        <v>1012</v>
      </c>
      <c r="D532" s="145"/>
      <c r="E532" s="145"/>
      <c r="F532" s="145"/>
      <c r="G532" s="145"/>
      <c r="H532" s="46" t="s">
        <v>58</v>
      </c>
      <c r="I532" s="46" t="s">
        <v>58</v>
      </c>
      <c r="J532" s="46" t="s">
        <v>58</v>
      </c>
      <c r="K532" s="65">
        <f>SUM(K533:K533)</f>
        <v>0</v>
      </c>
      <c r="L532" s="52"/>
      <c r="M532" s="17"/>
      <c r="AI532" s="56" t="s">
        <v>75</v>
      </c>
      <c r="AS532" s="65">
        <f>SUM(AJ533:AJ533)</f>
        <v>0</v>
      </c>
      <c r="AT532" s="65">
        <f>SUM(AK533:AK533)</f>
        <v>0</v>
      </c>
      <c r="AU532" s="65">
        <f>SUM(AL533:AL533)</f>
        <v>0</v>
      </c>
    </row>
    <row r="533" spans="1:64" x14ac:dyDescent="0.25">
      <c r="A533" s="34" t="s">
        <v>1050</v>
      </c>
      <c r="B533" s="41" t="s">
        <v>1007</v>
      </c>
      <c r="C533" s="146" t="s">
        <v>1013</v>
      </c>
      <c r="D533" s="147"/>
      <c r="E533" s="147"/>
      <c r="F533" s="147"/>
      <c r="G533" s="147"/>
      <c r="H533" s="41" t="s">
        <v>892</v>
      </c>
      <c r="I533" s="76">
        <v>4</v>
      </c>
      <c r="J533" s="60">
        <v>0</v>
      </c>
      <c r="K533" s="60">
        <f>I533*J533</f>
        <v>0</v>
      </c>
      <c r="L533" s="53" t="s">
        <v>906</v>
      </c>
      <c r="M533" s="17"/>
      <c r="Z533" s="28">
        <f>IF(AQ533="5",BJ533,0)</f>
        <v>0</v>
      </c>
      <c r="AB533" s="28">
        <f>IF(AQ533="1",BH533,0)</f>
        <v>0</v>
      </c>
      <c r="AC533" s="28">
        <f>IF(AQ533="1",BI533,0)</f>
        <v>0</v>
      </c>
      <c r="AD533" s="28">
        <f>IF(AQ533="7",BH533,0)</f>
        <v>0</v>
      </c>
      <c r="AE533" s="28">
        <f>IF(AQ533="7",BI533,0)</f>
        <v>0</v>
      </c>
      <c r="AF533" s="28">
        <f>IF(AQ533="2",BH533,0)</f>
        <v>0</v>
      </c>
      <c r="AG533" s="28">
        <f>IF(AQ533="2",BI533,0)</f>
        <v>0</v>
      </c>
      <c r="AH533" s="28">
        <f>IF(AQ533="0",BJ533,0)</f>
        <v>0</v>
      </c>
      <c r="AI533" s="56" t="s">
        <v>75</v>
      </c>
      <c r="AJ533" s="60">
        <f>IF(AN533=0,K533,0)</f>
        <v>0</v>
      </c>
      <c r="AK533" s="60">
        <f>IF(AN533=15,K533,0)</f>
        <v>0</v>
      </c>
      <c r="AL533" s="60">
        <f>IF(AN533=21,K533,0)</f>
        <v>0</v>
      </c>
      <c r="AN533" s="28">
        <v>21</v>
      </c>
      <c r="AO533" s="28">
        <f>J533*0.914974554707379</f>
        <v>0</v>
      </c>
      <c r="AP533" s="28">
        <f>J533*(1-0.914974554707379)</f>
        <v>0</v>
      </c>
      <c r="AQ533" s="57" t="s">
        <v>82</v>
      </c>
      <c r="AV533" s="28">
        <f>AW533+AX533</f>
        <v>0</v>
      </c>
      <c r="AW533" s="28">
        <f>I533*AO533</f>
        <v>0</v>
      </c>
      <c r="AX533" s="28">
        <f>I533*AP533</f>
        <v>0</v>
      </c>
      <c r="AY533" s="59" t="s">
        <v>1017</v>
      </c>
      <c r="AZ533" s="59" t="s">
        <v>1019</v>
      </c>
      <c r="BA533" s="56" t="s">
        <v>1022</v>
      </c>
      <c r="BC533" s="28">
        <f>AW533+AX533</f>
        <v>0</v>
      </c>
      <c r="BD533" s="28">
        <f>J533/(100-BE533)*100</f>
        <v>0</v>
      </c>
      <c r="BE533" s="28">
        <v>0</v>
      </c>
      <c r="BF533" s="28">
        <f>533</f>
        <v>533</v>
      </c>
      <c r="BH533" s="60">
        <f>I533*AO533</f>
        <v>0</v>
      </c>
      <c r="BI533" s="60">
        <f>I533*AP533</f>
        <v>0</v>
      </c>
      <c r="BJ533" s="60">
        <f>I533*J533</f>
        <v>0</v>
      </c>
      <c r="BK533" s="60" t="s">
        <v>971</v>
      </c>
      <c r="BL533" s="28">
        <v>45</v>
      </c>
    </row>
    <row r="534" spans="1:64" x14ac:dyDescent="0.25">
      <c r="A534" s="33"/>
      <c r="B534" s="40" t="s">
        <v>164</v>
      </c>
      <c r="C534" s="144" t="s">
        <v>990</v>
      </c>
      <c r="D534" s="145"/>
      <c r="E534" s="145"/>
      <c r="F534" s="145"/>
      <c r="G534" s="145"/>
      <c r="H534" s="46" t="s">
        <v>58</v>
      </c>
      <c r="I534" s="46" t="s">
        <v>58</v>
      </c>
      <c r="J534" s="46" t="s">
        <v>58</v>
      </c>
      <c r="K534" s="65">
        <f>SUM(K535:K535)</f>
        <v>0</v>
      </c>
      <c r="L534" s="52"/>
      <c r="M534" s="17"/>
      <c r="AI534" s="56" t="s">
        <v>75</v>
      </c>
      <c r="AS534" s="65">
        <f>SUM(AJ535:AJ535)</f>
        <v>0</v>
      </c>
      <c r="AT534" s="65">
        <f>SUM(AK535:AK535)</f>
        <v>0</v>
      </c>
      <c r="AU534" s="65">
        <f>SUM(AL535:AL535)</f>
        <v>0</v>
      </c>
    </row>
    <row r="535" spans="1:64" x14ac:dyDescent="0.25">
      <c r="A535" s="34" t="s">
        <v>1051</v>
      </c>
      <c r="B535" s="41" t="s">
        <v>986</v>
      </c>
      <c r="C535" s="146" t="s">
        <v>991</v>
      </c>
      <c r="D535" s="147"/>
      <c r="E535" s="147"/>
      <c r="F535" s="147"/>
      <c r="G535" s="147"/>
      <c r="H535" s="41" t="s">
        <v>895</v>
      </c>
      <c r="I535" s="76">
        <v>70</v>
      </c>
      <c r="J535" s="60">
        <v>0</v>
      </c>
      <c r="K535" s="60">
        <f>I535*J535</f>
        <v>0</v>
      </c>
      <c r="L535" s="53" t="s">
        <v>906</v>
      </c>
      <c r="M535" s="17"/>
      <c r="Z535" s="28">
        <f>IF(AQ535="5",BJ535,0)</f>
        <v>0</v>
      </c>
      <c r="AB535" s="28">
        <f>IF(AQ535="1",BH535,0)</f>
        <v>0</v>
      </c>
      <c r="AC535" s="28">
        <f>IF(AQ535="1",BI535,0)</f>
        <v>0</v>
      </c>
      <c r="AD535" s="28">
        <f>IF(AQ535="7",BH535,0)</f>
        <v>0</v>
      </c>
      <c r="AE535" s="28">
        <f>IF(AQ535="7",BI535,0)</f>
        <v>0</v>
      </c>
      <c r="AF535" s="28">
        <f>IF(AQ535="2",BH535,0)</f>
        <v>0</v>
      </c>
      <c r="AG535" s="28">
        <f>IF(AQ535="2",BI535,0)</f>
        <v>0</v>
      </c>
      <c r="AH535" s="28">
        <f>IF(AQ535="0",BJ535,0)</f>
        <v>0</v>
      </c>
      <c r="AI535" s="56" t="s">
        <v>75</v>
      </c>
      <c r="AJ535" s="60">
        <f>IF(AN535=0,K535,0)</f>
        <v>0</v>
      </c>
      <c r="AK535" s="60">
        <f>IF(AN535=15,K535,0)</f>
        <v>0</v>
      </c>
      <c r="AL535" s="60">
        <f>IF(AN535=21,K535,0)</f>
        <v>0</v>
      </c>
      <c r="AN535" s="28">
        <v>21</v>
      </c>
      <c r="AO535" s="28">
        <f>J535*0.288072646404744</f>
        <v>0</v>
      </c>
      <c r="AP535" s="28">
        <f>J535*(1-0.288072646404744)</f>
        <v>0</v>
      </c>
      <c r="AQ535" s="57" t="s">
        <v>82</v>
      </c>
      <c r="AV535" s="28">
        <f>AW535+AX535</f>
        <v>0</v>
      </c>
      <c r="AW535" s="28">
        <f>I535*AO535</f>
        <v>0</v>
      </c>
      <c r="AX535" s="28">
        <f>I535*AP535</f>
        <v>0</v>
      </c>
      <c r="AY535" s="59" t="s">
        <v>999</v>
      </c>
      <c r="AZ535" s="59" t="s">
        <v>1020</v>
      </c>
      <c r="BA535" s="56" t="s">
        <v>1022</v>
      </c>
      <c r="BC535" s="28">
        <f>AW535+AX535</f>
        <v>0</v>
      </c>
      <c r="BD535" s="28">
        <f>J535/(100-BE535)*100</f>
        <v>0</v>
      </c>
      <c r="BE535" s="28">
        <v>0</v>
      </c>
      <c r="BF535" s="28">
        <f>535</f>
        <v>535</v>
      </c>
      <c r="BH535" s="60">
        <f>I535*AO535</f>
        <v>0</v>
      </c>
      <c r="BI535" s="60">
        <f>I535*AP535</f>
        <v>0</v>
      </c>
      <c r="BJ535" s="60">
        <f>I535*J535</f>
        <v>0</v>
      </c>
      <c r="BK535" s="60" t="s">
        <v>971</v>
      </c>
      <c r="BL535" s="28">
        <v>83</v>
      </c>
    </row>
    <row r="536" spans="1:64" x14ac:dyDescent="0.25">
      <c r="A536" s="17"/>
      <c r="C536" s="148" t="s">
        <v>1014</v>
      </c>
      <c r="D536" s="149"/>
      <c r="E536" s="149"/>
      <c r="F536" s="149"/>
      <c r="G536" s="149"/>
      <c r="I536" s="77">
        <v>70</v>
      </c>
      <c r="L536" s="14"/>
      <c r="M536" s="17"/>
    </row>
    <row r="537" spans="1:64" x14ac:dyDescent="0.25">
      <c r="A537" s="33"/>
      <c r="B537" s="40" t="s">
        <v>170</v>
      </c>
      <c r="C537" s="144" t="s">
        <v>996</v>
      </c>
      <c r="D537" s="145"/>
      <c r="E537" s="145"/>
      <c r="F537" s="145"/>
      <c r="G537" s="145"/>
      <c r="H537" s="46" t="s">
        <v>58</v>
      </c>
      <c r="I537" s="46" t="s">
        <v>58</v>
      </c>
      <c r="J537" s="46" t="s">
        <v>58</v>
      </c>
      <c r="K537" s="65">
        <f>SUM(K538:K538)</f>
        <v>0</v>
      </c>
      <c r="L537" s="52"/>
      <c r="M537" s="17"/>
      <c r="AI537" s="56" t="s">
        <v>75</v>
      </c>
      <c r="AS537" s="65">
        <f>SUM(AJ538:AJ538)</f>
        <v>0</v>
      </c>
      <c r="AT537" s="65">
        <f>SUM(AK538:AK538)</f>
        <v>0</v>
      </c>
      <c r="AU537" s="65">
        <f>SUM(AL538:AL538)</f>
        <v>0</v>
      </c>
    </row>
    <row r="538" spans="1:64" x14ac:dyDescent="0.25">
      <c r="A538" s="34" t="s">
        <v>1052</v>
      </c>
      <c r="B538" s="41" t="s">
        <v>988</v>
      </c>
      <c r="C538" s="146" t="s">
        <v>997</v>
      </c>
      <c r="D538" s="147"/>
      <c r="E538" s="147"/>
      <c r="F538" s="147"/>
      <c r="G538" s="147"/>
      <c r="H538" s="41" t="s">
        <v>894</v>
      </c>
      <c r="I538" s="76">
        <v>1</v>
      </c>
      <c r="J538" s="60">
        <v>0</v>
      </c>
      <c r="K538" s="60">
        <f>I538*J538</f>
        <v>0</v>
      </c>
      <c r="L538" s="53" t="s">
        <v>906</v>
      </c>
      <c r="M538" s="17"/>
      <c r="Z538" s="28">
        <f>IF(AQ538="5",BJ538,0)</f>
        <v>0</v>
      </c>
      <c r="AB538" s="28">
        <f>IF(AQ538="1",BH538,0)</f>
        <v>0</v>
      </c>
      <c r="AC538" s="28">
        <f>IF(AQ538="1",BI538,0)</f>
        <v>0</v>
      </c>
      <c r="AD538" s="28">
        <f>IF(AQ538="7",BH538,0)</f>
        <v>0</v>
      </c>
      <c r="AE538" s="28">
        <f>IF(AQ538="7",BI538,0)</f>
        <v>0</v>
      </c>
      <c r="AF538" s="28">
        <f>IF(AQ538="2",BH538,0)</f>
        <v>0</v>
      </c>
      <c r="AG538" s="28">
        <f>IF(AQ538="2",BI538,0)</f>
        <v>0</v>
      </c>
      <c r="AH538" s="28">
        <f>IF(AQ538="0",BJ538,0)</f>
        <v>0</v>
      </c>
      <c r="AI538" s="56" t="s">
        <v>75</v>
      </c>
      <c r="AJ538" s="60">
        <f>IF(AN538=0,K538,0)</f>
        <v>0</v>
      </c>
      <c r="AK538" s="60">
        <f>IF(AN538=15,K538,0)</f>
        <v>0</v>
      </c>
      <c r="AL538" s="60">
        <f>IF(AN538=21,K538,0)</f>
        <v>0</v>
      </c>
      <c r="AN538" s="28">
        <v>21</v>
      </c>
      <c r="AO538" s="28">
        <f>J538*0.887614830072091</f>
        <v>0</v>
      </c>
      <c r="AP538" s="28">
        <f>J538*(1-0.887614830072091)</f>
        <v>0</v>
      </c>
      <c r="AQ538" s="57" t="s">
        <v>82</v>
      </c>
      <c r="AV538" s="28">
        <f>AW538+AX538</f>
        <v>0</v>
      </c>
      <c r="AW538" s="28">
        <f>I538*AO538</f>
        <v>0</v>
      </c>
      <c r="AX538" s="28">
        <f>I538*AP538</f>
        <v>0</v>
      </c>
      <c r="AY538" s="59" t="s">
        <v>1000</v>
      </c>
      <c r="AZ538" s="59" t="s">
        <v>1020</v>
      </c>
      <c r="BA538" s="56" t="s">
        <v>1022</v>
      </c>
      <c r="BC538" s="28">
        <f>AW538+AX538</f>
        <v>0</v>
      </c>
      <c r="BD538" s="28">
        <f>J538/(100-BE538)*100</f>
        <v>0</v>
      </c>
      <c r="BE538" s="28">
        <v>0</v>
      </c>
      <c r="BF538" s="28">
        <f>538</f>
        <v>538</v>
      </c>
      <c r="BH538" s="60">
        <f>I538*AO538</f>
        <v>0</v>
      </c>
      <c r="BI538" s="60">
        <f>I538*AP538</f>
        <v>0</v>
      </c>
      <c r="BJ538" s="60">
        <f>I538*J538</f>
        <v>0</v>
      </c>
      <c r="BK538" s="60" t="s">
        <v>971</v>
      </c>
      <c r="BL538" s="28">
        <v>89</v>
      </c>
    </row>
    <row r="539" spans="1:64" x14ac:dyDescent="0.25">
      <c r="A539" s="33"/>
      <c r="B539" s="40"/>
      <c r="C539" s="144" t="s">
        <v>883</v>
      </c>
      <c r="D539" s="145"/>
      <c r="E539" s="145"/>
      <c r="F539" s="145"/>
      <c r="G539" s="145"/>
      <c r="H539" s="46" t="s">
        <v>58</v>
      </c>
      <c r="I539" s="46" t="s">
        <v>58</v>
      </c>
      <c r="J539" s="46" t="s">
        <v>58</v>
      </c>
      <c r="K539" s="65">
        <f>SUM(K540:K541)</f>
        <v>0</v>
      </c>
      <c r="L539" s="52"/>
      <c r="M539" s="17"/>
      <c r="AI539" s="56" t="s">
        <v>75</v>
      </c>
      <c r="AS539" s="65">
        <f>SUM(AJ540:AJ541)</f>
        <v>0</v>
      </c>
      <c r="AT539" s="65">
        <f>SUM(AK540:AK541)</f>
        <v>0</v>
      </c>
      <c r="AU539" s="65">
        <f>SUM(AL540:AL541)</f>
        <v>0</v>
      </c>
    </row>
    <row r="540" spans="1:64" x14ac:dyDescent="0.25">
      <c r="A540" s="34" t="s">
        <v>1053</v>
      </c>
      <c r="B540" s="41" t="s">
        <v>1008</v>
      </c>
      <c r="C540" s="146" t="s">
        <v>1015</v>
      </c>
      <c r="D540" s="147"/>
      <c r="E540" s="147"/>
      <c r="F540" s="147"/>
      <c r="G540" s="147"/>
      <c r="H540" s="41" t="s">
        <v>897</v>
      </c>
      <c r="I540" s="76">
        <v>1</v>
      </c>
      <c r="J540" s="60">
        <v>0</v>
      </c>
      <c r="K540" s="60">
        <f>I540*J540</f>
        <v>0</v>
      </c>
      <c r="L540" s="53" t="s">
        <v>906</v>
      </c>
      <c r="M540" s="17"/>
      <c r="Z540" s="28">
        <f>IF(AQ540="5",BJ540,0)</f>
        <v>0</v>
      </c>
      <c r="AB540" s="28">
        <f>IF(AQ540="1",BH540,0)</f>
        <v>0</v>
      </c>
      <c r="AC540" s="28">
        <f>IF(AQ540="1",BI540,0)</f>
        <v>0</v>
      </c>
      <c r="AD540" s="28">
        <f>IF(AQ540="7",BH540,0)</f>
        <v>0</v>
      </c>
      <c r="AE540" s="28">
        <f>IF(AQ540="7",BI540,0)</f>
        <v>0</v>
      </c>
      <c r="AF540" s="28">
        <f>IF(AQ540="2",BH540,0)</f>
        <v>0</v>
      </c>
      <c r="AG540" s="28">
        <f>IF(AQ540="2",BI540,0)</f>
        <v>0</v>
      </c>
      <c r="AH540" s="28">
        <f>IF(AQ540="0",BJ540,0)</f>
        <v>0</v>
      </c>
      <c r="AI540" s="56" t="s">
        <v>75</v>
      </c>
      <c r="AJ540" s="60">
        <f>IF(AN540=0,K540,0)</f>
        <v>0</v>
      </c>
      <c r="AK540" s="60">
        <f>IF(AN540=15,K540,0)</f>
        <v>0</v>
      </c>
      <c r="AL540" s="60">
        <f>IF(AN540=21,K540,0)</f>
        <v>0</v>
      </c>
      <c r="AN540" s="28">
        <v>21</v>
      </c>
      <c r="AO540" s="28">
        <f>J540*1</f>
        <v>0</v>
      </c>
      <c r="AP540" s="28">
        <f>J540*(1-1)</f>
        <v>0</v>
      </c>
      <c r="AQ540" s="57" t="s">
        <v>82</v>
      </c>
      <c r="AV540" s="28">
        <f>AW540+AX540</f>
        <v>0</v>
      </c>
      <c r="AW540" s="28">
        <f>I540*AO540</f>
        <v>0</v>
      </c>
      <c r="AX540" s="28">
        <f>I540*AP540</f>
        <v>0</v>
      </c>
      <c r="AY540" s="59" t="s">
        <v>952</v>
      </c>
      <c r="AZ540" s="59" t="s">
        <v>1021</v>
      </c>
      <c r="BA540" s="56" t="s">
        <v>1022</v>
      </c>
      <c r="BC540" s="28">
        <f>AW540+AX540</f>
        <v>0</v>
      </c>
      <c r="BD540" s="28">
        <f>J540/(100-BE540)*100</f>
        <v>0</v>
      </c>
      <c r="BE540" s="28">
        <v>0</v>
      </c>
      <c r="BF540" s="28">
        <f>540</f>
        <v>540</v>
      </c>
      <c r="BH540" s="60">
        <f>I540*AO540</f>
        <v>0</v>
      </c>
      <c r="BI540" s="60">
        <f>I540*AP540</f>
        <v>0</v>
      </c>
      <c r="BJ540" s="60">
        <f>I540*J540</f>
        <v>0</v>
      </c>
      <c r="BK540" s="60" t="s">
        <v>971</v>
      </c>
      <c r="BL540" s="28"/>
    </row>
    <row r="541" spans="1:64" x14ac:dyDescent="0.25">
      <c r="A541" s="34" t="s">
        <v>1054</v>
      </c>
      <c r="B541" s="41" t="s">
        <v>1009</v>
      </c>
      <c r="C541" s="146" t="s">
        <v>1016</v>
      </c>
      <c r="D541" s="147"/>
      <c r="E541" s="147"/>
      <c r="F541" s="147"/>
      <c r="G541" s="147"/>
      <c r="H541" s="41" t="s">
        <v>897</v>
      </c>
      <c r="I541" s="76">
        <v>1</v>
      </c>
      <c r="J541" s="60">
        <v>0</v>
      </c>
      <c r="K541" s="60">
        <f>I541*J541</f>
        <v>0</v>
      </c>
      <c r="L541" s="53" t="s">
        <v>906</v>
      </c>
      <c r="M541" s="17"/>
      <c r="Z541" s="28">
        <f>IF(AQ541="5",BJ541,0)</f>
        <v>0</v>
      </c>
      <c r="AB541" s="28">
        <f>IF(AQ541="1",BH541,0)</f>
        <v>0</v>
      </c>
      <c r="AC541" s="28">
        <f>IF(AQ541="1",BI541,0)</f>
        <v>0</v>
      </c>
      <c r="AD541" s="28">
        <f>IF(AQ541="7",BH541,0)</f>
        <v>0</v>
      </c>
      <c r="AE541" s="28">
        <f>IF(AQ541="7",BI541,0)</f>
        <v>0</v>
      </c>
      <c r="AF541" s="28">
        <f>IF(AQ541="2",BH541,0)</f>
        <v>0</v>
      </c>
      <c r="AG541" s="28">
        <f>IF(AQ541="2",BI541,0)</f>
        <v>0</v>
      </c>
      <c r="AH541" s="28">
        <f>IF(AQ541="0",BJ541,0)</f>
        <v>0</v>
      </c>
      <c r="AI541" s="56" t="s">
        <v>75</v>
      </c>
      <c r="AJ541" s="60">
        <f>IF(AN541=0,K541,0)</f>
        <v>0</v>
      </c>
      <c r="AK541" s="60">
        <f>IF(AN541=15,K541,0)</f>
        <v>0</v>
      </c>
      <c r="AL541" s="60">
        <f>IF(AN541=21,K541,0)</f>
        <v>0</v>
      </c>
      <c r="AN541" s="28">
        <v>21</v>
      </c>
      <c r="AO541" s="28">
        <f>J541*1</f>
        <v>0</v>
      </c>
      <c r="AP541" s="28">
        <f>J541*(1-1)</f>
        <v>0</v>
      </c>
      <c r="AQ541" s="57" t="s">
        <v>82</v>
      </c>
      <c r="AV541" s="28">
        <f>AW541+AX541</f>
        <v>0</v>
      </c>
      <c r="AW541" s="28">
        <f>I541*AO541</f>
        <v>0</v>
      </c>
      <c r="AX541" s="28">
        <f>I541*AP541</f>
        <v>0</v>
      </c>
      <c r="AY541" s="59" t="s">
        <v>952</v>
      </c>
      <c r="AZ541" s="59" t="s">
        <v>1021</v>
      </c>
      <c r="BA541" s="56" t="s">
        <v>1022</v>
      </c>
      <c r="BC541" s="28">
        <f>AW541+AX541</f>
        <v>0</v>
      </c>
      <c r="BD541" s="28">
        <f>J541/(100-BE541)*100</f>
        <v>0</v>
      </c>
      <c r="BE541" s="28">
        <v>0</v>
      </c>
      <c r="BF541" s="28">
        <f>541</f>
        <v>541</v>
      </c>
      <c r="BH541" s="60">
        <f>I541*AO541</f>
        <v>0</v>
      </c>
      <c r="BI541" s="60">
        <f>I541*AP541</f>
        <v>0</v>
      </c>
      <c r="BJ541" s="60">
        <f>I541*J541</f>
        <v>0</v>
      </c>
      <c r="BK541" s="60" t="s">
        <v>971</v>
      </c>
      <c r="BL541" s="28"/>
    </row>
    <row r="542" spans="1:64" x14ac:dyDescent="0.25">
      <c r="A542" s="71"/>
      <c r="B542" s="72"/>
      <c r="C542" s="167" t="s">
        <v>64</v>
      </c>
      <c r="D542" s="168"/>
      <c r="E542" s="168"/>
      <c r="F542" s="168"/>
      <c r="G542" s="168"/>
      <c r="H542" s="73" t="s">
        <v>58</v>
      </c>
      <c r="I542" s="73" t="s">
        <v>58</v>
      </c>
      <c r="J542" s="73" t="s">
        <v>58</v>
      </c>
      <c r="K542" s="75">
        <f>K543</f>
        <v>0</v>
      </c>
      <c r="L542" s="74"/>
      <c r="M542" s="17"/>
    </row>
    <row r="543" spans="1:64" x14ac:dyDescent="0.25">
      <c r="A543" s="33"/>
      <c r="B543" s="40" t="s">
        <v>164</v>
      </c>
      <c r="C543" s="144" t="s">
        <v>990</v>
      </c>
      <c r="D543" s="145"/>
      <c r="E543" s="145"/>
      <c r="F543" s="145"/>
      <c r="G543" s="145"/>
      <c r="H543" s="46" t="s">
        <v>58</v>
      </c>
      <c r="I543" s="46" t="s">
        <v>58</v>
      </c>
      <c r="J543" s="46" t="s">
        <v>58</v>
      </c>
      <c r="K543" s="65">
        <f>SUM(K544:K544)</f>
        <v>0</v>
      </c>
      <c r="L543" s="52"/>
      <c r="M543" s="17"/>
      <c r="AI543" s="56" t="s">
        <v>76</v>
      </c>
      <c r="AS543" s="65">
        <f>SUM(AJ544:AJ544)</f>
        <v>0</v>
      </c>
      <c r="AT543" s="65">
        <f>SUM(AK544:AK544)</f>
        <v>0</v>
      </c>
      <c r="AU543" s="65">
        <f>SUM(AL544:AL544)</f>
        <v>0</v>
      </c>
    </row>
    <row r="544" spans="1:64" x14ac:dyDescent="0.25">
      <c r="A544" s="34" t="s">
        <v>1055</v>
      </c>
      <c r="B544" s="41" t="s">
        <v>1025</v>
      </c>
      <c r="C544" s="146" t="s">
        <v>1026</v>
      </c>
      <c r="D544" s="147"/>
      <c r="E544" s="147"/>
      <c r="F544" s="147"/>
      <c r="G544" s="147"/>
      <c r="H544" s="41" t="s">
        <v>895</v>
      </c>
      <c r="I544" s="76">
        <v>33.159999999999997</v>
      </c>
      <c r="J544" s="60">
        <v>0</v>
      </c>
      <c r="K544" s="60">
        <f>I544*J544</f>
        <v>0</v>
      </c>
      <c r="L544" s="53" t="s">
        <v>906</v>
      </c>
      <c r="M544" s="17"/>
      <c r="Z544" s="28">
        <f>IF(AQ544="5",BJ544,0)</f>
        <v>0</v>
      </c>
      <c r="AB544" s="28">
        <f>IF(AQ544="1",BH544,0)</f>
        <v>0</v>
      </c>
      <c r="AC544" s="28">
        <f>IF(AQ544="1",BI544,0)</f>
        <v>0</v>
      </c>
      <c r="AD544" s="28">
        <f>IF(AQ544="7",BH544,0)</f>
        <v>0</v>
      </c>
      <c r="AE544" s="28">
        <f>IF(AQ544="7",BI544,0)</f>
        <v>0</v>
      </c>
      <c r="AF544" s="28">
        <f>IF(AQ544="2",BH544,0)</f>
        <v>0</v>
      </c>
      <c r="AG544" s="28">
        <f>IF(AQ544="2",BI544,0)</f>
        <v>0</v>
      </c>
      <c r="AH544" s="28">
        <f>IF(AQ544="0",BJ544,0)</f>
        <v>0</v>
      </c>
      <c r="AI544" s="56" t="s">
        <v>76</v>
      </c>
      <c r="AJ544" s="60">
        <f>IF(AN544=0,K544,0)</f>
        <v>0</v>
      </c>
      <c r="AK544" s="60">
        <f>IF(AN544=15,K544,0)</f>
        <v>0</v>
      </c>
      <c r="AL544" s="60">
        <f>IF(AN544=21,K544,0)</f>
        <v>0</v>
      </c>
      <c r="AN544" s="28">
        <v>21</v>
      </c>
      <c r="AO544" s="28">
        <f>J544*0.4480313446782</f>
        <v>0</v>
      </c>
      <c r="AP544" s="28">
        <f>J544*(1-0.4480313446782)</f>
        <v>0</v>
      </c>
      <c r="AQ544" s="57" t="s">
        <v>82</v>
      </c>
      <c r="AV544" s="28">
        <f>AW544+AX544</f>
        <v>0</v>
      </c>
      <c r="AW544" s="28">
        <f>I544*AO544</f>
        <v>0</v>
      </c>
      <c r="AX544" s="28">
        <f>I544*AP544</f>
        <v>0</v>
      </c>
      <c r="AY544" s="59" t="s">
        <v>999</v>
      </c>
      <c r="AZ544" s="59" t="s">
        <v>1028</v>
      </c>
      <c r="BA544" s="56" t="s">
        <v>1029</v>
      </c>
      <c r="BC544" s="28">
        <f>AW544+AX544</f>
        <v>0</v>
      </c>
      <c r="BD544" s="28">
        <f>J544/(100-BE544)*100</f>
        <v>0</v>
      </c>
      <c r="BE544" s="28">
        <v>0</v>
      </c>
      <c r="BF544" s="28">
        <f>544</f>
        <v>544</v>
      </c>
      <c r="BH544" s="60">
        <f>I544*AO544</f>
        <v>0</v>
      </c>
      <c r="BI544" s="60">
        <f>I544*AP544</f>
        <v>0</v>
      </c>
      <c r="BJ544" s="60">
        <f>I544*J544</f>
        <v>0</v>
      </c>
      <c r="BK544" s="60" t="s">
        <v>971</v>
      </c>
      <c r="BL544" s="28">
        <v>83</v>
      </c>
    </row>
    <row r="545" spans="1:64" x14ac:dyDescent="0.25">
      <c r="A545" s="17"/>
      <c r="C545" s="148" t="s">
        <v>1027</v>
      </c>
      <c r="D545" s="149"/>
      <c r="E545" s="149"/>
      <c r="F545" s="149"/>
      <c r="G545" s="149"/>
      <c r="I545" s="77">
        <v>33.159999999999997</v>
      </c>
      <c r="L545" s="14"/>
      <c r="M545" s="17"/>
    </row>
    <row r="546" spans="1:64" x14ac:dyDescent="0.25">
      <c r="A546" s="71"/>
      <c r="B546" s="72"/>
      <c r="C546" s="167" t="s">
        <v>65</v>
      </c>
      <c r="D546" s="168"/>
      <c r="E546" s="168"/>
      <c r="F546" s="168"/>
      <c r="G546" s="168"/>
      <c r="H546" s="73" t="s">
        <v>58</v>
      </c>
      <c r="I546" s="73" t="s">
        <v>58</v>
      </c>
      <c r="J546" s="73" t="s">
        <v>58</v>
      </c>
      <c r="K546" s="75">
        <f>K547+K551</f>
        <v>0</v>
      </c>
      <c r="L546" s="74"/>
      <c r="M546" s="17"/>
    </row>
    <row r="547" spans="1:64" x14ac:dyDescent="0.25">
      <c r="A547" s="33"/>
      <c r="B547" s="40" t="s">
        <v>140</v>
      </c>
      <c r="C547" s="144" t="s">
        <v>977</v>
      </c>
      <c r="D547" s="145"/>
      <c r="E547" s="145"/>
      <c r="F547" s="145"/>
      <c r="G547" s="145"/>
      <c r="H547" s="46" t="s">
        <v>58</v>
      </c>
      <c r="I547" s="46" t="s">
        <v>58</v>
      </c>
      <c r="J547" s="46" t="s">
        <v>58</v>
      </c>
      <c r="K547" s="65">
        <f>SUM(K548:K548)</f>
        <v>0</v>
      </c>
      <c r="L547" s="52"/>
      <c r="M547" s="17"/>
      <c r="AI547" s="56" t="s">
        <v>77</v>
      </c>
      <c r="AS547" s="65">
        <f>SUM(AJ548:AJ548)</f>
        <v>0</v>
      </c>
      <c r="AT547" s="65">
        <f>SUM(AK548:AK548)</f>
        <v>0</v>
      </c>
      <c r="AU547" s="65">
        <f>SUM(AL548:AL548)</f>
        <v>0</v>
      </c>
    </row>
    <row r="548" spans="1:64" x14ac:dyDescent="0.25">
      <c r="A548" s="34" t="s">
        <v>1056</v>
      </c>
      <c r="B548" s="41" t="s">
        <v>1032</v>
      </c>
      <c r="C548" s="146" t="s">
        <v>1034</v>
      </c>
      <c r="D548" s="147"/>
      <c r="E548" s="147"/>
      <c r="F548" s="147"/>
      <c r="G548" s="147"/>
      <c r="H548" s="41" t="s">
        <v>891</v>
      </c>
      <c r="I548" s="76">
        <v>24.969000000000001</v>
      </c>
      <c r="J548" s="60">
        <v>0</v>
      </c>
      <c r="K548" s="60">
        <f>I548*J548</f>
        <v>0</v>
      </c>
      <c r="L548" s="53" t="s">
        <v>906</v>
      </c>
      <c r="M548" s="17"/>
      <c r="Z548" s="28">
        <f>IF(AQ548="5",BJ548,0)</f>
        <v>0</v>
      </c>
      <c r="AB548" s="28">
        <f>IF(AQ548="1",BH548,0)</f>
        <v>0</v>
      </c>
      <c r="AC548" s="28">
        <f>IF(AQ548="1",BI548,0)</f>
        <v>0</v>
      </c>
      <c r="AD548" s="28">
        <f>IF(AQ548="7",BH548,0)</f>
        <v>0</v>
      </c>
      <c r="AE548" s="28">
        <f>IF(AQ548="7",BI548,0)</f>
        <v>0</v>
      </c>
      <c r="AF548" s="28">
        <f>IF(AQ548="2",BH548,0)</f>
        <v>0</v>
      </c>
      <c r="AG548" s="28">
        <f>IF(AQ548="2",BI548,0)</f>
        <v>0</v>
      </c>
      <c r="AH548" s="28">
        <f>IF(AQ548="0",BJ548,0)</f>
        <v>0</v>
      </c>
      <c r="AI548" s="56" t="s">
        <v>77</v>
      </c>
      <c r="AJ548" s="60">
        <f>IF(AN548=0,K548,0)</f>
        <v>0</v>
      </c>
      <c r="AK548" s="60">
        <f>IF(AN548=15,K548,0)</f>
        <v>0</v>
      </c>
      <c r="AL548" s="60">
        <f>IF(AN548=21,K548,0)</f>
        <v>0</v>
      </c>
      <c r="AN548" s="28">
        <v>21</v>
      </c>
      <c r="AO548" s="28">
        <f>J548*0.498435485632654</f>
        <v>0</v>
      </c>
      <c r="AP548" s="28">
        <f>J548*(1-0.498435485632654)</f>
        <v>0</v>
      </c>
      <c r="AQ548" s="57" t="s">
        <v>82</v>
      </c>
      <c r="AV548" s="28">
        <f>AW548+AX548</f>
        <v>0</v>
      </c>
      <c r="AW548" s="28">
        <f>I548*AO548</f>
        <v>0</v>
      </c>
      <c r="AX548" s="28">
        <f>I548*AP548</f>
        <v>0</v>
      </c>
      <c r="AY548" s="59" t="s">
        <v>981</v>
      </c>
      <c r="AZ548" s="59" t="s">
        <v>1040</v>
      </c>
      <c r="BA548" s="56" t="s">
        <v>1042</v>
      </c>
      <c r="BC548" s="28">
        <f>AW548+AX548</f>
        <v>0</v>
      </c>
      <c r="BD548" s="28">
        <f>J548/(100-BE548)*100</f>
        <v>0</v>
      </c>
      <c r="BE548" s="28">
        <v>0</v>
      </c>
      <c r="BF548" s="28">
        <f>548</f>
        <v>548</v>
      </c>
      <c r="BH548" s="60">
        <f>I548*AO548</f>
        <v>0</v>
      </c>
      <c r="BI548" s="60">
        <f>I548*AP548</f>
        <v>0</v>
      </c>
      <c r="BJ548" s="60">
        <f>I548*J548</f>
        <v>0</v>
      </c>
      <c r="BK548" s="60" t="s">
        <v>971</v>
      </c>
      <c r="BL548" s="28">
        <v>59</v>
      </c>
    </row>
    <row r="549" spans="1:64" x14ac:dyDescent="0.25">
      <c r="A549" s="17"/>
      <c r="B549" s="42" t="s">
        <v>265</v>
      </c>
      <c r="C549" s="150" t="s">
        <v>1035</v>
      </c>
      <c r="D549" s="151"/>
      <c r="E549" s="151"/>
      <c r="F549" s="151"/>
      <c r="G549" s="151"/>
      <c r="H549" s="151"/>
      <c r="I549" s="151"/>
      <c r="J549" s="151"/>
      <c r="K549" s="151"/>
      <c r="L549" s="152"/>
      <c r="M549" s="17"/>
    </row>
    <row r="550" spans="1:64" x14ac:dyDescent="0.25">
      <c r="A550" s="17"/>
      <c r="C550" s="148" t="s">
        <v>1036</v>
      </c>
      <c r="D550" s="149"/>
      <c r="E550" s="149"/>
      <c r="F550" s="149"/>
      <c r="G550" s="149"/>
      <c r="I550" s="77">
        <v>24.969000000000001</v>
      </c>
      <c r="L550" s="14"/>
      <c r="M550" s="17"/>
    </row>
    <row r="551" spans="1:64" x14ac:dyDescent="0.25">
      <c r="A551" s="33"/>
      <c r="B551" s="40"/>
      <c r="C551" s="144" t="s">
        <v>10</v>
      </c>
      <c r="D551" s="145"/>
      <c r="E551" s="145"/>
      <c r="F551" s="145"/>
      <c r="G551" s="145"/>
      <c r="H551" s="46" t="s">
        <v>58</v>
      </c>
      <c r="I551" s="46" t="s">
        <v>58</v>
      </c>
      <c r="J551" s="46" t="s">
        <v>58</v>
      </c>
      <c r="K551" s="65">
        <f>SUM(K552:K552)</f>
        <v>0</v>
      </c>
      <c r="L551" s="52"/>
      <c r="M551" s="17"/>
      <c r="AI551" s="56" t="s">
        <v>77</v>
      </c>
      <c r="AS551" s="65">
        <f>SUM(AJ552:AJ552)</f>
        <v>0</v>
      </c>
      <c r="AT551" s="65">
        <f>SUM(AK552:AK552)</f>
        <v>0</v>
      </c>
      <c r="AU551" s="65">
        <f>SUM(AL552:AL552)</f>
        <v>0</v>
      </c>
    </row>
    <row r="552" spans="1:64" x14ac:dyDescent="0.25">
      <c r="A552" s="67" t="s">
        <v>56</v>
      </c>
      <c r="B552" s="68" t="s">
        <v>1033</v>
      </c>
      <c r="C552" s="165" t="s">
        <v>1037</v>
      </c>
      <c r="D552" s="166"/>
      <c r="E552" s="166"/>
      <c r="F552" s="166"/>
      <c r="G552" s="166"/>
      <c r="H552" s="68" t="s">
        <v>894</v>
      </c>
      <c r="I552" s="79">
        <v>1</v>
      </c>
      <c r="J552" s="70">
        <v>0</v>
      </c>
      <c r="K552" s="70">
        <f>I552*J552</f>
        <v>0</v>
      </c>
      <c r="L552" s="69" t="s">
        <v>906</v>
      </c>
      <c r="M552" s="17"/>
      <c r="Z552" s="28">
        <f>IF(AQ552="5",BJ552,0)</f>
        <v>0</v>
      </c>
      <c r="AB552" s="28">
        <f>IF(AQ552="1",BH552,0)</f>
        <v>0</v>
      </c>
      <c r="AC552" s="28">
        <f>IF(AQ552="1",BI552,0)</f>
        <v>0</v>
      </c>
      <c r="AD552" s="28">
        <f>IF(AQ552="7",BH552,0)</f>
        <v>0</v>
      </c>
      <c r="AE552" s="28">
        <f>IF(AQ552="7",BI552,0)</f>
        <v>0</v>
      </c>
      <c r="AF552" s="28">
        <f>IF(AQ552="2",BH552,0)</f>
        <v>0</v>
      </c>
      <c r="AG552" s="28">
        <f>IF(AQ552="2",BI552,0)</f>
        <v>0</v>
      </c>
      <c r="AH552" s="28">
        <f>IF(AQ552="0",BJ552,0)</f>
        <v>0</v>
      </c>
      <c r="AI552" s="56" t="s">
        <v>77</v>
      </c>
      <c r="AJ552" s="61">
        <f>IF(AN552=0,K552,0)</f>
        <v>0</v>
      </c>
      <c r="AK552" s="61">
        <f>IF(AN552=15,K552,0)</f>
        <v>0</v>
      </c>
      <c r="AL552" s="61">
        <f>IF(AN552=21,K552,0)</f>
        <v>0</v>
      </c>
      <c r="AN552" s="28">
        <v>21</v>
      </c>
      <c r="AO552" s="28">
        <f>J552*1</f>
        <v>0</v>
      </c>
      <c r="AP552" s="28">
        <f>J552*(1-1)</f>
        <v>0</v>
      </c>
      <c r="AQ552" s="58" t="s">
        <v>1038</v>
      </c>
      <c r="AV552" s="28">
        <f>AW552+AX552</f>
        <v>0</v>
      </c>
      <c r="AW552" s="28">
        <f>I552*AO552</f>
        <v>0</v>
      </c>
      <c r="AX552" s="28">
        <f>I552*AP552</f>
        <v>0</v>
      </c>
      <c r="AY552" s="59" t="s">
        <v>1039</v>
      </c>
      <c r="AZ552" s="59" t="s">
        <v>1041</v>
      </c>
      <c r="BA552" s="56" t="s">
        <v>1042</v>
      </c>
      <c r="BC552" s="28">
        <f>AW552+AX552</f>
        <v>0</v>
      </c>
      <c r="BD552" s="28">
        <f>J552/(100-BE552)*100</f>
        <v>0</v>
      </c>
      <c r="BE552" s="28">
        <v>0</v>
      </c>
      <c r="BF552" s="28">
        <f>552</f>
        <v>552</v>
      </c>
      <c r="BH552" s="61">
        <f>I552*AO552</f>
        <v>0</v>
      </c>
      <c r="BI552" s="61">
        <f>I552*AP552</f>
        <v>0</v>
      </c>
      <c r="BJ552" s="61">
        <f>I552*J552</f>
        <v>0</v>
      </c>
      <c r="BK552" s="61" t="s">
        <v>972</v>
      </c>
      <c r="BL552" s="28"/>
    </row>
    <row r="553" spans="1:64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27">
        <f>ROUND(K13+K16+K19+K25+K28+K49+K83+K106+K121+K126+K133+K140+K158+K171+K189+K204+K244+K259+K263+K290+K301+K312+K328+K345+K353+K374+K388+K398+K413+K427+K429+K444+K463+K485+K500+K503+K505+K513+K518+K524+K526+K529+K532+K534+K537+K539+K543+K547+K551,1)</f>
        <v>0</v>
      </c>
      <c r="L553" s="5"/>
    </row>
    <row r="554" spans="1:64" ht="11.25" customHeight="1" x14ac:dyDescent="0.25">
      <c r="A554" s="20" t="s">
        <v>18</v>
      </c>
    </row>
    <row r="555" spans="1:64" x14ac:dyDescent="0.25">
      <c r="A555" s="103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</sheetData>
  <mergeCells count="569">
    <mergeCell ref="C550:G550"/>
    <mergeCell ref="C551:G551"/>
    <mergeCell ref="C552:G552"/>
    <mergeCell ref="A555:L555"/>
    <mergeCell ref="C544:G544"/>
    <mergeCell ref="C545:G545"/>
    <mergeCell ref="C546:G546"/>
    <mergeCell ref="C547:G547"/>
    <mergeCell ref="C548:G548"/>
    <mergeCell ref="C549:L549"/>
    <mergeCell ref="C538:G538"/>
    <mergeCell ref="C539:G539"/>
    <mergeCell ref="C540:G540"/>
    <mergeCell ref="C541:G541"/>
    <mergeCell ref="C542:G542"/>
    <mergeCell ref="C543:G543"/>
    <mergeCell ref="C532:G532"/>
    <mergeCell ref="C533:G533"/>
    <mergeCell ref="C534:G534"/>
    <mergeCell ref="C535:G535"/>
    <mergeCell ref="C536:G536"/>
    <mergeCell ref="C537:G537"/>
    <mergeCell ref="C526:G526"/>
    <mergeCell ref="C527:G527"/>
    <mergeCell ref="C528:G528"/>
    <mergeCell ref="C529:G529"/>
    <mergeCell ref="C530:G530"/>
    <mergeCell ref="C531:G531"/>
    <mergeCell ref="C520:G520"/>
    <mergeCell ref="C521:G521"/>
    <mergeCell ref="C522:L522"/>
    <mergeCell ref="C523:G523"/>
    <mergeCell ref="C524:G524"/>
    <mergeCell ref="C525:G525"/>
    <mergeCell ref="C514:G514"/>
    <mergeCell ref="C515:L515"/>
    <mergeCell ref="C516:G516"/>
    <mergeCell ref="C517:G517"/>
    <mergeCell ref="C518:G518"/>
    <mergeCell ref="C519:G519"/>
    <mergeCell ref="C508:G508"/>
    <mergeCell ref="C509:G509"/>
    <mergeCell ref="C510:G510"/>
    <mergeCell ref="C511:G511"/>
    <mergeCell ref="C512:G512"/>
    <mergeCell ref="C513:G513"/>
    <mergeCell ref="C502:G502"/>
    <mergeCell ref="C503:G503"/>
    <mergeCell ref="C504:G504"/>
    <mergeCell ref="C505:G505"/>
    <mergeCell ref="C506:G506"/>
    <mergeCell ref="C507:G507"/>
    <mergeCell ref="C496:G496"/>
    <mergeCell ref="C497:G497"/>
    <mergeCell ref="C498:G498"/>
    <mergeCell ref="C499:G499"/>
    <mergeCell ref="C500:G500"/>
    <mergeCell ref="C501:G501"/>
    <mergeCell ref="C490:G490"/>
    <mergeCell ref="C491:G491"/>
    <mergeCell ref="C492:G492"/>
    <mergeCell ref="C493:G493"/>
    <mergeCell ref="C494:G494"/>
    <mergeCell ref="C495:G495"/>
    <mergeCell ref="C484:G484"/>
    <mergeCell ref="C485:G485"/>
    <mergeCell ref="C486:G486"/>
    <mergeCell ref="C487:G487"/>
    <mergeCell ref="C488:G488"/>
    <mergeCell ref="C489:G489"/>
    <mergeCell ref="C478:G478"/>
    <mergeCell ref="C479:G479"/>
    <mergeCell ref="C480:G480"/>
    <mergeCell ref="C481:L481"/>
    <mergeCell ref="C482:G482"/>
    <mergeCell ref="C483:G483"/>
    <mergeCell ref="C472:G472"/>
    <mergeCell ref="C473:G473"/>
    <mergeCell ref="C474:G474"/>
    <mergeCell ref="C475:G475"/>
    <mergeCell ref="C476:G476"/>
    <mergeCell ref="C477:G477"/>
    <mergeCell ref="C466:G466"/>
    <mergeCell ref="C467:G467"/>
    <mergeCell ref="C468:G468"/>
    <mergeCell ref="C469:G469"/>
    <mergeCell ref="C470:G470"/>
    <mergeCell ref="C471:G471"/>
    <mergeCell ref="C460:G460"/>
    <mergeCell ref="C461:G461"/>
    <mergeCell ref="C462:G462"/>
    <mergeCell ref="C463:G463"/>
    <mergeCell ref="C464:G464"/>
    <mergeCell ref="C465:G465"/>
    <mergeCell ref="C454:G454"/>
    <mergeCell ref="C455:G455"/>
    <mergeCell ref="C456:G456"/>
    <mergeCell ref="C457:G457"/>
    <mergeCell ref="C458:G458"/>
    <mergeCell ref="C459:G459"/>
    <mergeCell ref="C448:G448"/>
    <mergeCell ref="C449:G449"/>
    <mergeCell ref="C450:G450"/>
    <mergeCell ref="C451:G451"/>
    <mergeCell ref="C452:G452"/>
    <mergeCell ref="C453:G453"/>
    <mergeCell ref="C442:G442"/>
    <mergeCell ref="C443:G443"/>
    <mergeCell ref="C444:G444"/>
    <mergeCell ref="C445:G445"/>
    <mergeCell ref="C446:G446"/>
    <mergeCell ref="C447:G447"/>
    <mergeCell ref="C436:G436"/>
    <mergeCell ref="C437:G437"/>
    <mergeCell ref="C438:G438"/>
    <mergeCell ref="C439:G439"/>
    <mergeCell ref="C440:G440"/>
    <mergeCell ref="C441:G441"/>
    <mergeCell ref="C430:G430"/>
    <mergeCell ref="C431:G431"/>
    <mergeCell ref="C432:G432"/>
    <mergeCell ref="C433:G433"/>
    <mergeCell ref="C434:G434"/>
    <mergeCell ref="C435:G435"/>
    <mergeCell ref="C424:G424"/>
    <mergeCell ref="C425:G425"/>
    <mergeCell ref="C426:G426"/>
    <mergeCell ref="C427:G427"/>
    <mergeCell ref="C428:G428"/>
    <mergeCell ref="C429:G429"/>
    <mergeCell ref="C418:G418"/>
    <mergeCell ref="C419:G419"/>
    <mergeCell ref="C420:G420"/>
    <mergeCell ref="C421:G421"/>
    <mergeCell ref="C422:G422"/>
    <mergeCell ref="C423:G423"/>
    <mergeCell ref="C412:G412"/>
    <mergeCell ref="C413:G413"/>
    <mergeCell ref="C414:G414"/>
    <mergeCell ref="C415:G415"/>
    <mergeCell ref="C416:G416"/>
    <mergeCell ref="C417:G417"/>
    <mergeCell ref="C406:G406"/>
    <mergeCell ref="C407:G407"/>
    <mergeCell ref="C408:G408"/>
    <mergeCell ref="C409:G409"/>
    <mergeCell ref="C410:G410"/>
    <mergeCell ref="C411:G411"/>
    <mergeCell ref="C400:G400"/>
    <mergeCell ref="C401:G401"/>
    <mergeCell ref="C402:G402"/>
    <mergeCell ref="C403:G403"/>
    <mergeCell ref="C404:G404"/>
    <mergeCell ref="C405:G405"/>
    <mergeCell ref="C394:G394"/>
    <mergeCell ref="C395:G395"/>
    <mergeCell ref="C396:G396"/>
    <mergeCell ref="C397:G397"/>
    <mergeCell ref="C398:G398"/>
    <mergeCell ref="C399:G399"/>
    <mergeCell ref="C388:G388"/>
    <mergeCell ref="C389:G389"/>
    <mergeCell ref="C390:G390"/>
    <mergeCell ref="C391:G391"/>
    <mergeCell ref="C392:G392"/>
    <mergeCell ref="C393:G393"/>
    <mergeCell ref="C382:G382"/>
    <mergeCell ref="C383:G383"/>
    <mergeCell ref="C384:G384"/>
    <mergeCell ref="C385:G385"/>
    <mergeCell ref="C386:G386"/>
    <mergeCell ref="C387:G387"/>
    <mergeCell ref="C376:G376"/>
    <mergeCell ref="C377:G377"/>
    <mergeCell ref="C378:G378"/>
    <mergeCell ref="C379:G379"/>
    <mergeCell ref="C380:G380"/>
    <mergeCell ref="C381:G381"/>
    <mergeCell ref="C370:G370"/>
    <mergeCell ref="C371:G371"/>
    <mergeCell ref="C372:G372"/>
    <mergeCell ref="C373:G373"/>
    <mergeCell ref="C374:G374"/>
    <mergeCell ref="C375:G375"/>
    <mergeCell ref="C364:G364"/>
    <mergeCell ref="C365:G365"/>
    <mergeCell ref="C366:G366"/>
    <mergeCell ref="C367:G367"/>
    <mergeCell ref="C368:G368"/>
    <mergeCell ref="C369:G369"/>
    <mergeCell ref="C358:G358"/>
    <mergeCell ref="C359:G359"/>
    <mergeCell ref="C360:G360"/>
    <mergeCell ref="C361:G361"/>
    <mergeCell ref="C362:G362"/>
    <mergeCell ref="C363:G363"/>
    <mergeCell ref="C352:G352"/>
    <mergeCell ref="C353:G353"/>
    <mergeCell ref="C354:G354"/>
    <mergeCell ref="C355:G355"/>
    <mergeCell ref="C356:G356"/>
    <mergeCell ref="C357:G357"/>
    <mergeCell ref="C346:G346"/>
    <mergeCell ref="C347:L347"/>
    <mergeCell ref="C348:G348"/>
    <mergeCell ref="C349:G349"/>
    <mergeCell ref="C350:G350"/>
    <mergeCell ref="C351:G351"/>
    <mergeCell ref="C340:G340"/>
    <mergeCell ref="C341:G341"/>
    <mergeCell ref="C342:G342"/>
    <mergeCell ref="C343:G343"/>
    <mergeCell ref="C344:G344"/>
    <mergeCell ref="C345:G345"/>
    <mergeCell ref="C334:G334"/>
    <mergeCell ref="C335:G335"/>
    <mergeCell ref="C336:G336"/>
    <mergeCell ref="C337:G337"/>
    <mergeCell ref="C338:L338"/>
    <mergeCell ref="C339:G339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C316:L316"/>
    <mergeCell ref="C317:G317"/>
    <mergeCell ref="C318:G318"/>
    <mergeCell ref="C319:G319"/>
    <mergeCell ref="C320:G320"/>
    <mergeCell ref="C321:G321"/>
    <mergeCell ref="C310:G310"/>
    <mergeCell ref="C311:G311"/>
    <mergeCell ref="C312:G312"/>
    <mergeCell ref="C313:G313"/>
    <mergeCell ref="C314:G314"/>
    <mergeCell ref="C315:G315"/>
    <mergeCell ref="C304:G304"/>
    <mergeCell ref="C305:G305"/>
    <mergeCell ref="C306:L306"/>
    <mergeCell ref="C307:G307"/>
    <mergeCell ref="C308:G308"/>
    <mergeCell ref="C309:G309"/>
    <mergeCell ref="C298:G298"/>
    <mergeCell ref="C299:G299"/>
    <mergeCell ref="C300:G300"/>
    <mergeCell ref="C301:G301"/>
    <mergeCell ref="C302:G302"/>
    <mergeCell ref="C303:G303"/>
    <mergeCell ref="C292:G292"/>
    <mergeCell ref="C293:G293"/>
    <mergeCell ref="C294:G294"/>
    <mergeCell ref="C295:G295"/>
    <mergeCell ref="C296:G296"/>
    <mergeCell ref="C297:G297"/>
    <mergeCell ref="C286:G286"/>
    <mergeCell ref="C287:G287"/>
    <mergeCell ref="C288:G288"/>
    <mergeCell ref="C289:G289"/>
    <mergeCell ref="C290:G290"/>
    <mergeCell ref="C291:G291"/>
    <mergeCell ref="C280:G280"/>
    <mergeCell ref="C281:G281"/>
    <mergeCell ref="C282:G282"/>
    <mergeCell ref="C283:G283"/>
    <mergeCell ref="C284:G284"/>
    <mergeCell ref="C285:G285"/>
    <mergeCell ref="C274:G274"/>
    <mergeCell ref="C275:G275"/>
    <mergeCell ref="C276:G276"/>
    <mergeCell ref="C277:G277"/>
    <mergeCell ref="C278:G278"/>
    <mergeCell ref="C279:G279"/>
    <mergeCell ref="C268:G268"/>
    <mergeCell ref="C269:G269"/>
    <mergeCell ref="C270:G270"/>
    <mergeCell ref="C271:G271"/>
    <mergeCell ref="C272:G272"/>
    <mergeCell ref="C273:G273"/>
    <mergeCell ref="C262:G262"/>
    <mergeCell ref="C263:G263"/>
    <mergeCell ref="C264:G264"/>
    <mergeCell ref="C265:G265"/>
    <mergeCell ref="C266:G266"/>
    <mergeCell ref="C267:G267"/>
    <mergeCell ref="C256:G256"/>
    <mergeCell ref="C257:G257"/>
    <mergeCell ref="C258:G258"/>
    <mergeCell ref="C259:G259"/>
    <mergeCell ref="C260:G260"/>
    <mergeCell ref="C261:G261"/>
    <mergeCell ref="C250:G250"/>
    <mergeCell ref="C251:G251"/>
    <mergeCell ref="C252:G252"/>
    <mergeCell ref="C253:G253"/>
    <mergeCell ref="C254:G254"/>
    <mergeCell ref="C255:G255"/>
    <mergeCell ref="C244:G244"/>
    <mergeCell ref="C245:G245"/>
    <mergeCell ref="C246:G246"/>
    <mergeCell ref="C247:G247"/>
    <mergeCell ref="C248:G248"/>
    <mergeCell ref="C249:G249"/>
    <mergeCell ref="C238:G238"/>
    <mergeCell ref="C239:G239"/>
    <mergeCell ref="C240:G240"/>
    <mergeCell ref="C241:G241"/>
    <mergeCell ref="C242:G242"/>
    <mergeCell ref="C243:G243"/>
    <mergeCell ref="C232:G232"/>
    <mergeCell ref="C233:G233"/>
    <mergeCell ref="C234:G234"/>
    <mergeCell ref="C235:G235"/>
    <mergeCell ref="C236:G236"/>
    <mergeCell ref="C237:G237"/>
    <mergeCell ref="C226:G226"/>
    <mergeCell ref="C227:G227"/>
    <mergeCell ref="C228:G228"/>
    <mergeCell ref="C229:G229"/>
    <mergeCell ref="C230:G230"/>
    <mergeCell ref="C231:G231"/>
    <mergeCell ref="C220:G220"/>
    <mergeCell ref="C221:G221"/>
    <mergeCell ref="C222:G222"/>
    <mergeCell ref="C223:G223"/>
    <mergeCell ref="C224:G224"/>
    <mergeCell ref="C225:G225"/>
    <mergeCell ref="C214:G214"/>
    <mergeCell ref="C215:G215"/>
    <mergeCell ref="C216:G216"/>
    <mergeCell ref="C217:G217"/>
    <mergeCell ref="C218:G218"/>
    <mergeCell ref="C219:G219"/>
    <mergeCell ref="C208:G208"/>
    <mergeCell ref="C209:G209"/>
    <mergeCell ref="C210:G210"/>
    <mergeCell ref="C211:G211"/>
    <mergeCell ref="C212:G212"/>
    <mergeCell ref="C213:G213"/>
    <mergeCell ref="C202:G202"/>
    <mergeCell ref="C203:G203"/>
    <mergeCell ref="C204:G204"/>
    <mergeCell ref="C205:G205"/>
    <mergeCell ref="C206:G206"/>
    <mergeCell ref="C207:G207"/>
    <mergeCell ref="C196:G196"/>
    <mergeCell ref="C197:G197"/>
    <mergeCell ref="C198:G198"/>
    <mergeCell ref="C199:G199"/>
    <mergeCell ref="C200:G200"/>
    <mergeCell ref="C201:G201"/>
    <mergeCell ref="C190:G190"/>
    <mergeCell ref="C191:L191"/>
    <mergeCell ref="C192:G192"/>
    <mergeCell ref="C193:G193"/>
    <mergeCell ref="C194:G194"/>
    <mergeCell ref="C195:G195"/>
    <mergeCell ref="C184:G184"/>
    <mergeCell ref="C185:G185"/>
    <mergeCell ref="C186:L186"/>
    <mergeCell ref="C187:G187"/>
    <mergeCell ref="C188:G188"/>
    <mergeCell ref="C189:G189"/>
    <mergeCell ref="C178:L178"/>
    <mergeCell ref="C179:G179"/>
    <mergeCell ref="C180:G180"/>
    <mergeCell ref="C181:G181"/>
    <mergeCell ref="C182:L182"/>
    <mergeCell ref="C183:G183"/>
    <mergeCell ref="C172:G172"/>
    <mergeCell ref="C173:G173"/>
    <mergeCell ref="C174:G174"/>
    <mergeCell ref="C175:L175"/>
    <mergeCell ref="C176:G176"/>
    <mergeCell ref="C177:G177"/>
    <mergeCell ref="C166:L166"/>
    <mergeCell ref="C167:G167"/>
    <mergeCell ref="C168:G168"/>
    <mergeCell ref="C169:G169"/>
    <mergeCell ref="C170:G170"/>
    <mergeCell ref="C171:G171"/>
    <mergeCell ref="C160:L160"/>
    <mergeCell ref="C161:G161"/>
    <mergeCell ref="C162:G162"/>
    <mergeCell ref="C163:G163"/>
    <mergeCell ref="C164:G164"/>
    <mergeCell ref="C165:G165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2:G112"/>
    <mergeCell ref="C113:G113"/>
    <mergeCell ref="C114:L114"/>
    <mergeCell ref="C115:G115"/>
    <mergeCell ref="C116:G116"/>
    <mergeCell ref="C117:G117"/>
    <mergeCell ref="C106:G106"/>
    <mergeCell ref="C107:G107"/>
    <mergeCell ref="C108:L108"/>
    <mergeCell ref="C109:G109"/>
    <mergeCell ref="C110:G110"/>
    <mergeCell ref="C111:L111"/>
    <mergeCell ref="C100:G100"/>
    <mergeCell ref="C101:G101"/>
    <mergeCell ref="C102:L102"/>
    <mergeCell ref="C103:G103"/>
    <mergeCell ref="C104:G104"/>
    <mergeCell ref="C105:G105"/>
    <mergeCell ref="C94:G94"/>
    <mergeCell ref="C95:G95"/>
    <mergeCell ref="C96:G96"/>
    <mergeCell ref="C97:L97"/>
    <mergeCell ref="C98:G98"/>
    <mergeCell ref="C99:G99"/>
    <mergeCell ref="C88:G88"/>
    <mergeCell ref="C89:G89"/>
    <mergeCell ref="C90:G90"/>
    <mergeCell ref="C91:G91"/>
    <mergeCell ref="C92:G92"/>
    <mergeCell ref="C93:L93"/>
    <mergeCell ref="C82:G82"/>
    <mergeCell ref="C83:G83"/>
    <mergeCell ref="C84:G84"/>
    <mergeCell ref="C85:G85"/>
    <mergeCell ref="C86:G86"/>
    <mergeCell ref="C87:G87"/>
    <mergeCell ref="C76:G76"/>
    <mergeCell ref="C77:L77"/>
    <mergeCell ref="C78:G78"/>
    <mergeCell ref="C79:G79"/>
    <mergeCell ref="C80:G80"/>
    <mergeCell ref="C81:L81"/>
    <mergeCell ref="C70:L70"/>
    <mergeCell ref="C71:G71"/>
    <mergeCell ref="C72:G72"/>
    <mergeCell ref="C73:L73"/>
    <mergeCell ref="C74:G74"/>
    <mergeCell ref="C75:L75"/>
    <mergeCell ref="C64:L64"/>
    <mergeCell ref="C65:G65"/>
    <mergeCell ref="C66:L66"/>
    <mergeCell ref="C67:G67"/>
    <mergeCell ref="C68:L68"/>
    <mergeCell ref="C69:G69"/>
    <mergeCell ref="C58:G58"/>
    <mergeCell ref="C59:G59"/>
    <mergeCell ref="C60:G60"/>
    <mergeCell ref="C61:G61"/>
    <mergeCell ref="C62:L62"/>
    <mergeCell ref="C63:G63"/>
    <mergeCell ref="C52:G52"/>
    <mergeCell ref="C53:G53"/>
    <mergeCell ref="C54:G54"/>
    <mergeCell ref="C55:G55"/>
    <mergeCell ref="C56:L56"/>
    <mergeCell ref="C57:G57"/>
    <mergeCell ref="C46:G46"/>
    <mergeCell ref="C47:G47"/>
    <mergeCell ref="C48:G48"/>
    <mergeCell ref="C49:G49"/>
    <mergeCell ref="C50:G50"/>
    <mergeCell ref="C51:L51"/>
    <mergeCell ref="C40:L40"/>
    <mergeCell ref="C41:G41"/>
    <mergeCell ref="C42:G42"/>
    <mergeCell ref="C43:G43"/>
    <mergeCell ref="C44:G44"/>
    <mergeCell ref="C45:G45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L21"/>
    <mergeCell ref="C10:G10"/>
    <mergeCell ref="C11:G11"/>
    <mergeCell ref="C12:G12"/>
    <mergeCell ref="C13:G13"/>
    <mergeCell ref="C14:G14"/>
    <mergeCell ref="C15:G15"/>
    <mergeCell ref="A8:B9"/>
    <mergeCell ref="C8:C9"/>
    <mergeCell ref="D8:E9"/>
    <mergeCell ref="F8:F9"/>
    <mergeCell ref="G8:G9"/>
    <mergeCell ref="A1:L1"/>
    <mergeCell ref="A2:B3"/>
    <mergeCell ref="C2:C3"/>
    <mergeCell ref="D2:E3"/>
    <mergeCell ref="F2:F3"/>
    <mergeCell ref="G2:G3"/>
    <mergeCell ref="H2:L3"/>
    <mergeCell ref="H8:L9"/>
    <mergeCell ref="A6:B7"/>
    <mergeCell ref="C6:C7"/>
    <mergeCell ref="D6:E7"/>
    <mergeCell ref="F6:F7"/>
    <mergeCell ref="G6:G7"/>
    <mergeCell ref="H6:L7"/>
    <mergeCell ref="A4:B5"/>
    <mergeCell ref="C4:C5"/>
    <mergeCell ref="D4:E5"/>
    <mergeCell ref="F4:F5"/>
    <mergeCell ref="G4:G5"/>
    <mergeCell ref="H4:L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tabSelected="1" workbookViewId="0">
      <pane ySplit="11" topLeftCell="A12" activePane="bottomLeft" state="frozenSplit"/>
      <selection pane="bottomLeft" activeCell="I43" sqref="I43"/>
    </sheetView>
  </sheetViews>
  <sheetFormatPr defaultColWidth="11.5546875" defaultRowHeight="13.2" x14ac:dyDescent="0.25"/>
  <cols>
    <col min="1" max="11" width="15.6640625" customWidth="1"/>
    <col min="12" max="12" width="14.33203125" customWidth="1"/>
    <col min="13" max="16" width="12.109375" hidden="1" customWidth="1"/>
  </cols>
  <sheetData>
    <row r="1" spans="1:16" ht="72.900000000000006" customHeight="1" x14ac:dyDescent="0.4">
      <c r="A1" s="128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6" x14ac:dyDescent="0.25">
      <c r="A2" s="91" t="s">
        <v>0</v>
      </c>
      <c r="B2" s="92"/>
      <c r="C2" s="92"/>
      <c r="D2" s="95" t="str">
        <f>'Stavební rozpočet'!C2</f>
        <v>Rekonstrukce RD na rekreační středisko</v>
      </c>
      <c r="E2" s="96"/>
      <c r="F2" s="96"/>
      <c r="G2" s="98" t="s">
        <v>66</v>
      </c>
      <c r="H2" s="98" t="str">
        <f>'Stavební rozpočet'!F2</f>
        <v xml:space="preserve"> </v>
      </c>
      <c r="I2" s="98" t="s">
        <v>32</v>
      </c>
      <c r="J2" s="98" t="str">
        <f>'Stavební rozpočet'!H2</f>
        <v> </v>
      </c>
      <c r="K2" s="92"/>
      <c r="L2" s="129"/>
      <c r="M2" s="17"/>
    </row>
    <row r="3" spans="1:16" ht="25.65" customHeight="1" x14ac:dyDescent="0.25">
      <c r="A3" s="93"/>
      <c r="B3" s="94"/>
      <c r="C3" s="94"/>
      <c r="D3" s="97"/>
      <c r="E3" s="97"/>
      <c r="F3" s="97"/>
      <c r="G3" s="94"/>
      <c r="H3" s="94"/>
      <c r="I3" s="94"/>
      <c r="J3" s="94"/>
      <c r="K3" s="94"/>
      <c r="L3" s="100"/>
      <c r="M3" s="17"/>
    </row>
    <row r="4" spans="1:16" x14ac:dyDescent="0.25">
      <c r="A4" s="102" t="s">
        <v>1</v>
      </c>
      <c r="B4" s="94"/>
      <c r="C4" s="94"/>
      <c r="D4" s="103" t="str">
        <f>'Stavební rozpočet'!C4</f>
        <v xml:space="preserve"> </v>
      </c>
      <c r="E4" s="94"/>
      <c r="F4" s="94"/>
      <c r="G4" s="103" t="s">
        <v>3</v>
      </c>
      <c r="H4" s="103" t="str">
        <f>'Stavební rozpočet'!F4</f>
        <v>22.01.2021</v>
      </c>
      <c r="I4" s="103" t="s">
        <v>33</v>
      </c>
      <c r="J4" s="103" t="str">
        <f>'Stavební rozpočet'!H4</f>
        <v> </v>
      </c>
      <c r="K4" s="94"/>
      <c r="L4" s="100"/>
      <c r="M4" s="17"/>
    </row>
    <row r="5" spans="1:16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16" x14ac:dyDescent="0.25">
      <c r="A6" s="102" t="s">
        <v>2</v>
      </c>
      <c r="B6" s="94"/>
      <c r="C6" s="94"/>
      <c r="D6" s="103" t="str">
        <f>'Stavební rozpočet'!C6</f>
        <v xml:space="preserve"> </v>
      </c>
      <c r="E6" s="94"/>
      <c r="F6" s="94"/>
      <c r="G6" s="103" t="s">
        <v>35</v>
      </c>
      <c r="H6" s="103" t="str">
        <f>'Stavební rozpočet'!F6</f>
        <v xml:space="preserve"> </v>
      </c>
      <c r="I6" s="103" t="s">
        <v>34</v>
      </c>
      <c r="J6" s="103" t="str">
        <f>'Stavební rozpočet'!H6</f>
        <v> </v>
      </c>
      <c r="K6" s="94"/>
      <c r="L6" s="100"/>
      <c r="M6" s="17"/>
    </row>
    <row r="7" spans="1:16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16" x14ac:dyDescent="0.25">
      <c r="A8" s="102" t="s">
        <v>4</v>
      </c>
      <c r="B8" s="94"/>
      <c r="C8" s="94"/>
      <c r="D8" s="103" t="str">
        <f>'Stavební rozpočet'!C8</f>
        <v xml:space="preserve"> </v>
      </c>
      <c r="E8" s="94"/>
      <c r="F8" s="94"/>
      <c r="G8" s="103" t="s">
        <v>67</v>
      </c>
      <c r="H8" s="103" t="str">
        <f>'Stavební rozpočet'!F8</f>
        <v>22.01.2021</v>
      </c>
      <c r="I8" s="103" t="s">
        <v>36</v>
      </c>
      <c r="J8" s="103" t="str">
        <f>'Stavební rozpočet'!H8</f>
        <v> </v>
      </c>
      <c r="K8" s="94"/>
      <c r="L8" s="100"/>
      <c r="M8" s="17"/>
    </row>
    <row r="9" spans="1:16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16" x14ac:dyDescent="0.25">
      <c r="A10" s="136" t="s">
        <v>58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21" t="s">
        <v>69</v>
      </c>
      <c r="M10" s="18"/>
    </row>
    <row r="11" spans="1:16" x14ac:dyDescent="0.25">
      <c r="A11" s="139" t="s">
        <v>59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1"/>
      <c r="L11" s="22" t="s">
        <v>70</v>
      </c>
      <c r="M11" s="18"/>
    </row>
    <row r="12" spans="1:16" x14ac:dyDescent="0.25">
      <c r="A12" s="142" t="s">
        <v>60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24">
        <f>'Stavební rozpočet (SO 01)'!K512</f>
        <v>0</v>
      </c>
      <c r="M12" s="23" t="s">
        <v>71</v>
      </c>
      <c r="N12" s="28">
        <f t="shared" ref="N12:N18" si="0">IF(M12="F",0,L12)</f>
        <v>0</v>
      </c>
      <c r="O12" s="15" t="s">
        <v>72</v>
      </c>
      <c r="P12" s="28">
        <f t="shared" ref="P12:P18" si="1">IF(M12="T",0,L12)</f>
        <v>0</v>
      </c>
    </row>
    <row r="13" spans="1:16" x14ac:dyDescent="0.25">
      <c r="A13" s="133" t="s">
        <v>61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25">
        <f>'Stavební rozpočet (SO 03)'!K17</f>
        <v>0</v>
      </c>
      <c r="M13" s="23" t="s">
        <v>71</v>
      </c>
      <c r="N13" s="28">
        <f t="shared" si="0"/>
        <v>0</v>
      </c>
      <c r="O13" s="15" t="s">
        <v>73</v>
      </c>
      <c r="P13" s="28">
        <f t="shared" si="1"/>
        <v>0</v>
      </c>
    </row>
    <row r="14" spans="1:16" x14ac:dyDescent="0.25">
      <c r="A14" s="133" t="s">
        <v>62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25">
        <f>'Stavební rozpočet (SO 04)'!K23</f>
        <v>0</v>
      </c>
      <c r="M14" s="23" t="s">
        <v>71</v>
      </c>
      <c r="N14" s="28">
        <f t="shared" si="0"/>
        <v>0</v>
      </c>
      <c r="O14" s="15" t="s">
        <v>74</v>
      </c>
      <c r="P14" s="28">
        <f t="shared" si="1"/>
        <v>0</v>
      </c>
    </row>
    <row r="15" spans="1:16" x14ac:dyDescent="0.25">
      <c r="A15" s="133" t="s">
        <v>63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25">
        <f>'Stavební rozpočet (SO 05)'!K26</f>
        <v>0</v>
      </c>
      <c r="M15" s="23" t="s">
        <v>71</v>
      </c>
      <c r="N15" s="28">
        <f t="shared" si="0"/>
        <v>0</v>
      </c>
      <c r="O15" s="15" t="s">
        <v>75</v>
      </c>
      <c r="P15" s="28">
        <f t="shared" si="1"/>
        <v>0</v>
      </c>
    </row>
    <row r="16" spans="1:16" x14ac:dyDescent="0.25">
      <c r="A16" s="133" t="s">
        <v>64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25">
        <f>'Stavební rozpočet (SO 06)'!K16</f>
        <v>0</v>
      </c>
      <c r="M16" s="23" t="s">
        <v>71</v>
      </c>
      <c r="N16" s="28">
        <f t="shared" si="0"/>
        <v>0</v>
      </c>
      <c r="O16" s="15" t="s">
        <v>76</v>
      </c>
      <c r="P16" s="28">
        <f t="shared" si="1"/>
        <v>0</v>
      </c>
    </row>
    <row r="17" spans="1:16" x14ac:dyDescent="0.25">
      <c r="A17" s="133" t="s">
        <v>881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25">
        <f>'Stavební rozpočet (SO 07)'!K42</f>
        <v>0</v>
      </c>
      <c r="M17" s="23" t="s">
        <v>71</v>
      </c>
      <c r="N17" s="28">
        <f t="shared" ref="N17" si="2">IF(M17="F",0,L17)</f>
        <v>0</v>
      </c>
      <c r="O17" s="85" t="s">
        <v>76</v>
      </c>
      <c r="P17" s="28">
        <f t="shared" ref="P17" si="3">IF(M17="T",0,L17)</f>
        <v>0</v>
      </c>
    </row>
    <row r="18" spans="1:16" x14ac:dyDescent="0.25">
      <c r="A18" s="134" t="s">
        <v>65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26">
        <f>'Stavební rozpočet (SO 08)'!K19</f>
        <v>0</v>
      </c>
      <c r="M18" s="23" t="s">
        <v>71</v>
      </c>
      <c r="N18" s="28">
        <f t="shared" si="0"/>
        <v>0</v>
      </c>
      <c r="O18" s="15" t="s">
        <v>77</v>
      </c>
      <c r="P18" s="28">
        <f t="shared" si="1"/>
        <v>0</v>
      </c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135" t="s">
        <v>68</v>
      </c>
      <c r="K19" s="96"/>
      <c r="L19" s="27">
        <f>ROUND(SUM(P12:P18),1)</f>
        <v>0</v>
      </c>
    </row>
    <row r="20" spans="1:16" ht="11.25" customHeight="1" x14ac:dyDescent="0.25">
      <c r="A20" s="20" t="s">
        <v>18</v>
      </c>
    </row>
    <row r="21" spans="1:16" x14ac:dyDescent="0.25">
      <c r="A21" s="10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</sheetData>
  <mergeCells count="36">
    <mergeCell ref="A16:K16"/>
    <mergeCell ref="A18:K18"/>
    <mergeCell ref="J19:K19"/>
    <mergeCell ref="A21:L21"/>
    <mergeCell ref="A10:K10"/>
    <mergeCell ref="A11:K11"/>
    <mergeCell ref="A12:K12"/>
    <mergeCell ref="A13:K13"/>
    <mergeCell ref="A14:K14"/>
    <mergeCell ref="A15:K15"/>
    <mergeCell ref="A17:K17"/>
    <mergeCell ref="J8:L9"/>
    <mergeCell ref="A6:C7"/>
    <mergeCell ref="D6:F7"/>
    <mergeCell ref="G6:G7"/>
    <mergeCell ref="H6:H7"/>
    <mergeCell ref="I6:I7"/>
    <mergeCell ref="J6:L7"/>
    <mergeCell ref="A8:C9"/>
    <mergeCell ref="D8:F9"/>
    <mergeCell ref="G8:G9"/>
    <mergeCell ref="H8:H9"/>
    <mergeCell ref="I8:I9"/>
    <mergeCell ref="J4:L5"/>
    <mergeCell ref="A1:L1"/>
    <mergeCell ref="A2:C3"/>
    <mergeCell ref="D2:F3"/>
    <mergeCell ref="G2:G3"/>
    <mergeCell ref="H2:H3"/>
    <mergeCell ref="I2:I3"/>
    <mergeCell ref="J2:L3"/>
    <mergeCell ref="A4:C5"/>
    <mergeCell ref="D4:F5"/>
    <mergeCell ref="G4:G5"/>
    <mergeCell ref="H4:H5"/>
    <mergeCell ref="I4:I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5"/>
  <sheetViews>
    <sheetView workbookViewId="0">
      <selection activeCell="I51" sqref="I51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78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79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SUM('Stavební rozpočet (SO 01)'!AB12:AB552)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SUM('Stavební rozpočet (SO 01)'!AC12:AC552)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SUM('Stavební rozpočet (SO 01)'!AD12:AD552)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SUM('Stavební rozpočet (SO 01)'!AE12:AE552)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 (SO 01)'!AF12:AF552)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 (SO 01)'!AG12:AG552)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SUM('Stavební rozpočet (SO 01)'!AH12:AH552)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SUM('Stavební rozpočet (SO 01)'!Z12:Z552)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5"/>
      <c r="D23" s="5"/>
      <c r="E23" s="5"/>
      <c r="F23" s="10"/>
      <c r="G23" s="115" t="s">
        <v>47</v>
      </c>
      <c r="H23" s="116"/>
      <c r="I23" s="29"/>
    </row>
    <row r="24" spans="1:10" x14ac:dyDescent="0.25">
      <c r="A24" s="1"/>
      <c r="B24" s="1"/>
      <c r="C24" s="1"/>
      <c r="G24" s="5"/>
      <c r="H24" s="5"/>
    </row>
    <row r="25" spans="1:10" ht="15.15" customHeight="1" x14ac:dyDescent="0.25">
      <c r="A25" s="117" t="s">
        <v>13</v>
      </c>
      <c r="B25" s="118"/>
      <c r="C25" s="19">
        <f>ROUND(SUM('Stavební rozpočet (SO 01)'!AJ12:AJ552),1)</f>
        <v>0</v>
      </c>
      <c r="D25" s="11"/>
      <c r="E25" s="1"/>
      <c r="F25" s="1"/>
      <c r="G25" s="1"/>
      <c r="H25" s="1"/>
      <c r="I25" s="1"/>
    </row>
    <row r="26" spans="1:10" ht="15.15" customHeight="1" x14ac:dyDescent="0.25">
      <c r="A26" s="117" t="s">
        <v>14</v>
      </c>
      <c r="B26" s="118"/>
      <c r="C26" s="19">
        <f>ROUND(SUM('Stavební rozpočet (SO 01)'!AK12:AK552),1)</f>
        <v>0</v>
      </c>
      <c r="D26" s="117" t="s">
        <v>29</v>
      </c>
      <c r="E26" s="118"/>
      <c r="F26" s="19">
        <f>ROUND(C26*(15/100),2)</f>
        <v>0</v>
      </c>
      <c r="G26" s="117" t="s">
        <v>49</v>
      </c>
      <c r="H26" s="118"/>
      <c r="I26" s="19">
        <f>ROUND(SUM(C25:C27),1)</f>
        <v>0</v>
      </c>
      <c r="J26" s="17"/>
    </row>
    <row r="27" spans="1:10" ht="15.15" customHeight="1" x14ac:dyDescent="0.25">
      <c r="A27" s="117" t="s">
        <v>15</v>
      </c>
      <c r="B27" s="118"/>
      <c r="C27" s="19">
        <f>ROUND(SUM('Stavební rozpočet (SO 01)'!AL12:AL552)+(F22+I22+F23+I23+I24),1)</f>
        <v>0</v>
      </c>
      <c r="D27" s="117" t="s">
        <v>30</v>
      </c>
      <c r="E27" s="118"/>
      <c r="F27" s="19">
        <f>ROUND(C27*(21/100),2)</f>
        <v>0</v>
      </c>
      <c r="G27" s="117" t="s">
        <v>50</v>
      </c>
      <c r="H27" s="118"/>
      <c r="I27" s="19">
        <f>ROUND(SUM(F26:F27)+I26,1)</f>
        <v>0</v>
      </c>
      <c r="J27" s="17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10" ht="14.4" customHeight="1" x14ac:dyDescent="0.25">
      <c r="A29" s="119" t="s">
        <v>16</v>
      </c>
      <c r="B29" s="120"/>
      <c r="C29" s="121"/>
      <c r="D29" s="119" t="s">
        <v>31</v>
      </c>
      <c r="E29" s="120"/>
      <c r="F29" s="121"/>
      <c r="G29" s="119" t="s">
        <v>51</v>
      </c>
      <c r="H29" s="120"/>
      <c r="I29" s="121"/>
      <c r="J29" s="18"/>
    </row>
    <row r="30" spans="1:10" ht="14.4" customHeight="1" x14ac:dyDescent="0.25">
      <c r="A30" s="122"/>
      <c r="B30" s="123"/>
      <c r="C30" s="124"/>
      <c r="D30" s="122"/>
      <c r="E30" s="123"/>
      <c r="F30" s="124"/>
      <c r="G30" s="122"/>
      <c r="H30" s="123"/>
      <c r="I30" s="124"/>
      <c r="J30" s="18"/>
    </row>
    <row r="31" spans="1:10" ht="14.4" customHeight="1" x14ac:dyDescent="0.25">
      <c r="A31" s="122"/>
      <c r="B31" s="123"/>
      <c r="C31" s="124"/>
      <c r="D31" s="122"/>
      <c r="E31" s="123"/>
      <c r="F31" s="124"/>
      <c r="G31" s="122"/>
      <c r="H31" s="123"/>
      <c r="I31" s="124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x14ac:dyDescent="0.25">
      <c r="A33" s="125" t="s">
        <v>17</v>
      </c>
      <c r="B33" s="126"/>
      <c r="C33" s="127"/>
      <c r="D33" s="125" t="s">
        <v>17</v>
      </c>
      <c r="E33" s="126"/>
      <c r="F33" s="127"/>
      <c r="G33" s="125" t="s">
        <v>17</v>
      </c>
      <c r="H33" s="126"/>
      <c r="I33" s="127"/>
      <c r="J33" s="18"/>
    </row>
    <row r="34" spans="1:10" ht="11.25" customHeight="1" x14ac:dyDescent="0.25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10" x14ac:dyDescent="0.25">
      <c r="A35" s="103"/>
      <c r="B35" s="94"/>
      <c r="C35" s="94"/>
      <c r="D35" s="94"/>
      <c r="E35" s="94"/>
      <c r="F35" s="94"/>
      <c r="G35" s="94"/>
      <c r="H35" s="94"/>
      <c r="I35" s="94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514"/>
  <sheetViews>
    <sheetView workbookViewId="0">
      <pane ySplit="11" topLeftCell="A12" activePane="bottomLeft" state="frozenSplit"/>
      <selection pane="bottomLeft" activeCell="C17" sqref="C17:G17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70.109375" customWidth="1"/>
    <col min="8" max="8" width="6.4414062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tr">
        <f>'Stavební rozpočet'!C2</f>
        <v>Rekonstrukce RD na rekreační středisko</v>
      </c>
      <c r="D2" s="143" t="s">
        <v>66</v>
      </c>
      <c r="E2" s="92"/>
      <c r="F2" s="98" t="str">
        <f>'Stavební rozpočet'!F2</f>
        <v xml:space="preserve"> </v>
      </c>
      <c r="G2" s="98" t="s">
        <v>32</v>
      </c>
      <c r="H2" s="98" t="str">
        <f>'Stavební rozpočet'!H2</f>
        <v> </v>
      </c>
      <c r="I2" s="92"/>
      <c r="J2" s="92"/>
      <c r="K2" s="92"/>
      <c r="L2" s="129"/>
      <c r="M2" s="17"/>
    </row>
    <row r="3" spans="1:64" x14ac:dyDescent="0.25">
      <c r="A3" s="93"/>
      <c r="B3" s="94"/>
      <c r="C3" s="97"/>
      <c r="D3" s="94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tr">
        <f>'Stavební rozpočet'!C4</f>
        <v xml:space="preserve"> </v>
      </c>
      <c r="D4" s="106" t="s">
        <v>3</v>
      </c>
      <c r="E4" s="94"/>
      <c r="F4" s="103" t="str">
        <f>'Stavební rozpočet'!F4</f>
        <v>22.01.2021</v>
      </c>
      <c r="G4" s="103" t="s">
        <v>33</v>
      </c>
      <c r="H4" s="103" t="str">
        <f>'Stavební rozpočet'!H4</f>
        <v> </v>
      </c>
      <c r="I4" s="94"/>
      <c r="J4" s="94"/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tr">
        <f>'Stavební rozpočet'!C6</f>
        <v xml:space="preserve"> </v>
      </c>
      <c r="D6" s="106" t="s">
        <v>35</v>
      </c>
      <c r="E6" s="94"/>
      <c r="F6" s="103" t="str">
        <f>'Stavební rozpočet'!F6</f>
        <v xml:space="preserve"> </v>
      </c>
      <c r="G6" s="103" t="s">
        <v>34</v>
      </c>
      <c r="H6" s="103" t="str">
        <f>'Stavební rozpočet'!H6</f>
        <v> </v>
      </c>
      <c r="I6" s="94"/>
      <c r="J6" s="94"/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tr">
        <f>'Stavební rozpočet'!C8</f>
        <v xml:space="preserve"> </v>
      </c>
      <c r="D8" s="106" t="s">
        <v>67</v>
      </c>
      <c r="E8" s="94"/>
      <c r="F8" s="103" t="str">
        <f>'Stavební rozpočet'!F8</f>
        <v>22.01.2021</v>
      </c>
      <c r="G8" s="103" t="s">
        <v>36</v>
      </c>
      <c r="H8" s="103" t="str">
        <f>'Stavební rozpočet'!H8</f>
        <v> </v>
      </c>
      <c r="I8" s="94"/>
      <c r="J8" s="94"/>
      <c r="K8" s="94"/>
      <c r="L8" s="100"/>
      <c r="M8" s="17"/>
    </row>
    <row r="9" spans="1:64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 t="s">
        <v>904</v>
      </c>
      <c r="M10" s="18"/>
      <c r="BK10" s="56" t="s">
        <v>970</v>
      </c>
      <c r="BL10" s="62" t="s">
        <v>973</v>
      </c>
    </row>
    <row r="11" spans="1:64" x14ac:dyDescent="0.25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 t="s">
        <v>905</v>
      </c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39"/>
      <c r="C12" s="157" t="s">
        <v>60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K13+K16+K19+K25+K28+K49+K83+K106+K121+K126+K133+K140+K158+K171+K189+K204+K244+K259+K263+K290+K301+K312+K328+K345+K353+K374+K388+K398+K413+K427+K429+K444+K463+K485+K500+K503+K505</f>
        <v>0</v>
      </c>
      <c r="L12" s="51"/>
      <c r="M12" s="17"/>
    </row>
    <row r="13" spans="1:64" x14ac:dyDescent="0.25">
      <c r="A13" s="33"/>
      <c r="B13" s="40" t="s">
        <v>92</v>
      </c>
      <c r="C13" s="144" t="s">
        <v>464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SUM(K14:K14)</f>
        <v>0</v>
      </c>
      <c r="L13" s="52"/>
      <c r="M13" s="17"/>
      <c r="AI13" s="56" t="s">
        <v>72</v>
      </c>
      <c r="AS13" s="65">
        <f>SUM(AJ14:AJ14)</f>
        <v>0</v>
      </c>
      <c r="AT13" s="65">
        <f>SUM(AK14:AK14)</f>
        <v>0</v>
      </c>
      <c r="AU13" s="65">
        <f>SUM(AL14:AL14)</f>
        <v>0</v>
      </c>
    </row>
    <row r="14" spans="1:64" x14ac:dyDescent="0.25">
      <c r="A14" s="34" t="s">
        <v>82</v>
      </c>
      <c r="B14" s="41" t="s">
        <v>262</v>
      </c>
      <c r="C14" s="146" t="s">
        <v>465</v>
      </c>
      <c r="D14" s="147"/>
      <c r="E14" s="147"/>
      <c r="F14" s="147"/>
      <c r="G14" s="147"/>
      <c r="H14" s="41" t="s">
        <v>891</v>
      </c>
      <c r="I14" s="76">
        <f>'Stavební rozpočet'!I14</f>
        <v>163.26</v>
      </c>
      <c r="J14" s="60"/>
      <c r="K14" s="60">
        <f>I14*J14</f>
        <v>0</v>
      </c>
      <c r="L14" s="53" t="s">
        <v>906</v>
      </c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72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</f>
        <v>0</v>
      </c>
      <c r="AP14" s="28">
        <f>J14*(1-0)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916</v>
      </c>
      <c r="AZ14" s="59" t="s">
        <v>953</v>
      </c>
      <c r="BA14" s="56" t="s">
        <v>966</v>
      </c>
      <c r="BC14" s="28">
        <f>AW14+AX14</f>
        <v>0</v>
      </c>
      <c r="BD14" s="28">
        <f>J14/(100-BE14)*100</f>
        <v>0</v>
      </c>
      <c r="BE14" s="28">
        <v>0</v>
      </c>
      <c r="BF14" s="28">
        <f>14</f>
        <v>14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11</v>
      </c>
    </row>
    <row r="15" spans="1:64" x14ac:dyDescent="0.25">
      <c r="A15" s="17"/>
      <c r="C15" s="148" t="s">
        <v>466</v>
      </c>
      <c r="D15" s="149"/>
      <c r="E15" s="149"/>
      <c r="F15" s="149"/>
      <c r="G15" s="149"/>
      <c r="I15" s="77">
        <v>163.26</v>
      </c>
      <c r="L15" s="14"/>
      <c r="M15" s="17"/>
    </row>
    <row r="16" spans="1:64" x14ac:dyDescent="0.25">
      <c r="A16" s="33"/>
      <c r="B16" s="40" t="s">
        <v>93</v>
      </c>
      <c r="C16" s="144" t="s">
        <v>467</v>
      </c>
      <c r="D16" s="145"/>
      <c r="E16" s="145"/>
      <c r="F16" s="145"/>
      <c r="G16" s="145"/>
      <c r="H16" s="46" t="s">
        <v>58</v>
      </c>
      <c r="I16" s="46" t="s">
        <v>58</v>
      </c>
      <c r="J16" s="46" t="s">
        <v>58</v>
      </c>
      <c r="K16" s="65">
        <f>SUM(K17:K17)</f>
        <v>0</v>
      </c>
      <c r="L16" s="52"/>
      <c r="M16" s="17"/>
      <c r="AI16" s="56" t="s">
        <v>72</v>
      </c>
      <c r="AS16" s="65">
        <f>SUM(AJ17:AJ17)</f>
        <v>0</v>
      </c>
      <c r="AT16" s="65">
        <f>SUM(AK17:AK17)</f>
        <v>0</v>
      </c>
      <c r="AU16" s="65">
        <f>SUM(AL17:AL17)</f>
        <v>0</v>
      </c>
    </row>
    <row r="17" spans="1:64" x14ac:dyDescent="0.25">
      <c r="A17" s="34" t="s">
        <v>83</v>
      </c>
      <c r="B17" s="41" t="s">
        <v>263</v>
      </c>
      <c r="C17" s="146" t="s">
        <v>468</v>
      </c>
      <c r="D17" s="147"/>
      <c r="E17" s="147"/>
      <c r="F17" s="147"/>
      <c r="G17" s="147"/>
      <c r="H17" s="41" t="s">
        <v>892</v>
      </c>
      <c r="I17" s="76">
        <f>'Stavební rozpočet'!I17</f>
        <v>37.5</v>
      </c>
      <c r="J17" s="60"/>
      <c r="K17" s="60">
        <f>I17*J17</f>
        <v>0</v>
      </c>
      <c r="L17" s="53" t="s">
        <v>906</v>
      </c>
      <c r="M17" s="17"/>
      <c r="Z17" s="28">
        <f>IF(AQ17="5",BJ17,0)</f>
        <v>0</v>
      </c>
      <c r="AB17" s="28">
        <f>IF(AQ17="1",BH17,0)</f>
        <v>0</v>
      </c>
      <c r="AC17" s="28">
        <f>IF(AQ17="1",BI17,0)</f>
        <v>0</v>
      </c>
      <c r="AD17" s="28">
        <f>IF(AQ17="7",BH17,0)</f>
        <v>0</v>
      </c>
      <c r="AE17" s="28">
        <f>IF(AQ17="7",BI17,0)</f>
        <v>0</v>
      </c>
      <c r="AF17" s="28">
        <f>IF(AQ17="2",BH17,0)</f>
        <v>0</v>
      </c>
      <c r="AG17" s="28">
        <f>IF(AQ17="2",BI17,0)</f>
        <v>0</v>
      </c>
      <c r="AH17" s="28">
        <f>IF(AQ17="0",BJ17,0)</f>
        <v>0</v>
      </c>
      <c r="AI17" s="56" t="s">
        <v>72</v>
      </c>
      <c r="AJ17" s="60">
        <f>IF(AN17=0,K17,0)</f>
        <v>0</v>
      </c>
      <c r="AK17" s="60">
        <f>IF(AN17=15,K17,0)</f>
        <v>0</v>
      </c>
      <c r="AL17" s="60">
        <f>IF(AN17=21,K17,0)</f>
        <v>0</v>
      </c>
      <c r="AN17" s="28">
        <v>21</v>
      </c>
      <c r="AO17" s="28">
        <f>J17*0</f>
        <v>0</v>
      </c>
      <c r="AP17" s="28">
        <f>J17*(1-0)</f>
        <v>0</v>
      </c>
      <c r="AQ17" s="57" t="s">
        <v>82</v>
      </c>
      <c r="AV17" s="28">
        <f>AW17+AX17</f>
        <v>0</v>
      </c>
      <c r="AW17" s="28">
        <f>I17*AO17</f>
        <v>0</v>
      </c>
      <c r="AX17" s="28">
        <f>I17*AP17</f>
        <v>0</v>
      </c>
      <c r="AY17" s="59" t="s">
        <v>917</v>
      </c>
      <c r="AZ17" s="59" t="s">
        <v>953</v>
      </c>
      <c r="BA17" s="56" t="s">
        <v>966</v>
      </c>
      <c r="BC17" s="28">
        <f>AW17+AX17</f>
        <v>0</v>
      </c>
      <c r="BD17" s="28">
        <f>J17/(100-BE17)*100</f>
        <v>0</v>
      </c>
      <c r="BE17" s="28">
        <v>0</v>
      </c>
      <c r="BF17" s="28">
        <f>17</f>
        <v>17</v>
      </c>
      <c r="BH17" s="60">
        <f>I17*AO17</f>
        <v>0</v>
      </c>
      <c r="BI17" s="60">
        <f>I17*AP17</f>
        <v>0</v>
      </c>
      <c r="BJ17" s="60">
        <f>I17*J17</f>
        <v>0</v>
      </c>
      <c r="BK17" s="60" t="s">
        <v>971</v>
      </c>
      <c r="BL17" s="28">
        <v>12</v>
      </c>
    </row>
    <row r="18" spans="1:64" x14ac:dyDescent="0.25">
      <c r="A18" s="17"/>
      <c r="C18" s="148" t="s">
        <v>469</v>
      </c>
      <c r="D18" s="149"/>
      <c r="E18" s="149"/>
      <c r="F18" s="149"/>
      <c r="G18" s="149"/>
      <c r="I18" s="77">
        <v>37.5</v>
      </c>
      <c r="L18" s="14"/>
      <c r="M18" s="17"/>
    </row>
    <row r="19" spans="1:64" x14ac:dyDescent="0.25">
      <c r="A19" s="33"/>
      <c r="B19" s="40" t="s">
        <v>94</v>
      </c>
      <c r="C19" s="144" t="s">
        <v>470</v>
      </c>
      <c r="D19" s="145"/>
      <c r="E19" s="145"/>
      <c r="F19" s="145"/>
      <c r="G19" s="145"/>
      <c r="H19" s="46" t="s">
        <v>58</v>
      </c>
      <c r="I19" s="46" t="s">
        <v>58</v>
      </c>
      <c r="J19" s="46" t="s">
        <v>58</v>
      </c>
      <c r="K19" s="65">
        <f>SUM(K20:K20)</f>
        <v>0</v>
      </c>
      <c r="L19" s="52"/>
      <c r="M19" s="17"/>
      <c r="AI19" s="56" t="s">
        <v>72</v>
      </c>
      <c r="AS19" s="65">
        <f>SUM(AJ20:AJ20)</f>
        <v>0</v>
      </c>
      <c r="AT19" s="65">
        <f>SUM(AK20:AK20)</f>
        <v>0</v>
      </c>
      <c r="AU19" s="65">
        <f>SUM(AL20:AL20)</f>
        <v>0</v>
      </c>
    </row>
    <row r="20" spans="1:64" x14ac:dyDescent="0.25">
      <c r="A20" s="34" t="s">
        <v>84</v>
      </c>
      <c r="B20" s="41" t="s">
        <v>264</v>
      </c>
      <c r="C20" s="146" t="s">
        <v>471</v>
      </c>
      <c r="D20" s="147"/>
      <c r="E20" s="147"/>
      <c r="F20" s="147"/>
      <c r="G20" s="147"/>
      <c r="H20" s="41" t="s">
        <v>892</v>
      </c>
      <c r="I20" s="76">
        <f>'Stavební rozpočet'!I20</f>
        <v>11.411</v>
      </c>
      <c r="J20" s="60"/>
      <c r="K20" s="60">
        <f>I20*J20</f>
        <v>0</v>
      </c>
      <c r="L20" s="53" t="s">
        <v>906</v>
      </c>
      <c r="M20" s="17"/>
      <c r="Z20" s="28">
        <f>IF(AQ20="5",BJ20,0)</f>
        <v>0</v>
      </c>
      <c r="AB20" s="28">
        <f>IF(AQ20="1",BH20,0)</f>
        <v>0</v>
      </c>
      <c r="AC20" s="28">
        <f>IF(AQ20="1",BI20,0)</f>
        <v>0</v>
      </c>
      <c r="AD20" s="28">
        <f>IF(AQ20="7",BH20,0)</f>
        <v>0</v>
      </c>
      <c r="AE20" s="28">
        <f>IF(AQ20="7",BI20,0)</f>
        <v>0</v>
      </c>
      <c r="AF20" s="28">
        <f>IF(AQ20="2",BH20,0)</f>
        <v>0</v>
      </c>
      <c r="AG20" s="28">
        <f>IF(AQ20="2",BI20,0)</f>
        <v>0</v>
      </c>
      <c r="AH20" s="28">
        <f>IF(AQ20="0",BJ20,0)</f>
        <v>0</v>
      </c>
      <c r="AI20" s="56" t="s">
        <v>72</v>
      </c>
      <c r="AJ20" s="60">
        <f>IF(AN20=0,K20,0)</f>
        <v>0</v>
      </c>
      <c r="AK20" s="60">
        <f>IF(AN20=15,K20,0)</f>
        <v>0</v>
      </c>
      <c r="AL20" s="60">
        <f>IF(AN20=21,K20,0)</f>
        <v>0</v>
      </c>
      <c r="AN20" s="28">
        <v>21</v>
      </c>
      <c r="AO20" s="28">
        <f>J20*0</f>
        <v>0</v>
      </c>
      <c r="AP20" s="28">
        <f>J20*(1-0)</f>
        <v>0</v>
      </c>
      <c r="AQ20" s="57" t="s">
        <v>82</v>
      </c>
      <c r="AV20" s="28">
        <f>AW20+AX20</f>
        <v>0</v>
      </c>
      <c r="AW20" s="28">
        <f>I20*AO20</f>
        <v>0</v>
      </c>
      <c r="AX20" s="28">
        <f>I20*AP20</f>
        <v>0</v>
      </c>
      <c r="AY20" s="59" t="s">
        <v>918</v>
      </c>
      <c r="AZ20" s="59" t="s">
        <v>953</v>
      </c>
      <c r="BA20" s="56" t="s">
        <v>966</v>
      </c>
      <c r="BC20" s="28">
        <f>AW20+AX20</f>
        <v>0</v>
      </c>
      <c r="BD20" s="28">
        <f>J20/(100-BE20)*100</f>
        <v>0</v>
      </c>
      <c r="BE20" s="28">
        <v>0</v>
      </c>
      <c r="BF20" s="28">
        <f>20</f>
        <v>20</v>
      </c>
      <c r="BH20" s="60">
        <f>I20*AO20</f>
        <v>0</v>
      </c>
      <c r="BI20" s="60">
        <f>I20*AP20</f>
        <v>0</v>
      </c>
      <c r="BJ20" s="60">
        <f>I20*J20</f>
        <v>0</v>
      </c>
      <c r="BK20" s="60" t="s">
        <v>971</v>
      </c>
      <c r="BL20" s="28">
        <v>13</v>
      </c>
    </row>
    <row r="21" spans="1:64" x14ac:dyDescent="0.25">
      <c r="A21" s="17"/>
      <c r="B21" s="42" t="s">
        <v>265</v>
      </c>
      <c r="C21" s="150" t="s">
        <v>472</v>
      </c>
      <c r="D21" s="151"/>
      <c r="E21" s="151"/>
      <c r="F21" s="151"/>
      <c r="G21" s="151"/>
      <c r="H21" s="151"/>
      <c r="I21" s="151"/>
      <c r="J21" s="151"/>
      <c r="K21" s="151"/>
      <c r="L21" s="152"/>
      <c r="M21" s="17"/>
    </row>
    <row r="22" spans="1:64" x14ac:dyDescent="0.25">
      <c r="A22" s="17"/>
      <c r="C22" s="148" t="s">
        <v>473</v>
      </c>
      <c r="D22" s="149"/>
      <c r="E22" s="149"/>
      <c r="F22" s="149"/>
      <c r="G22" s="149"/>
      <c r="I22" s="77">
        <v>5.3</v>
      </c>
      <c r="L22" s="14"/>
      <c r="M22" s="17"/>
    </row>
    <row r="23" spans="1:64" x14ac:dyDescent="0.25">
      <c r="A23" s="17"/>
      <c r="C23" s="148" t="s">
        <v>474</v>
      </c>
      <c r="D23" s="149"/>
      <c r="E23" s="149"/>
      <c r="F23" s="149"/>
      <c r="G23" s="149"/>
      <c r="I23" s="77">
        <v>0.111</v>
      </c>
      <c r="L23" s="14"/>
      <c r="M23" s="17"/>
    </row>
    <row r="24" spans="1:64" x14ac:dyDescent="0.25">
      <c r="A24" s="17"/>
      <c r="C24" s="148" t="s">
        <v>475</v>
      </c>
      <c r="D24" s="149"/>
      <c r="E24" s="149"/>
      <c r="F24" s="149"/>
      <c r="G24" s="149"/>
      <c r="I24" s="77">
        <v>6</v>
      </c>
      <c r="L24" s="14"/>
      <c r="M24" s="17"/>
    </row>
    <row r="25" spans="1:64" x14ac:dyDescent="0.25">
      <c r="A25" s="33"/>
      <c r="B25" s="40" t="s">
        <v>98</v>
      </c>
      <c r="C25" s="144" t="s">
        <v>476</v>
      </c>
      <c r="D25" s="145"/>
      <c r="E25" s="145"/>
      <c r="F25" s="145"/>
      <c r="G25" s="145"/>
      <c r="H25" s="46" t="s">
        <v>58</v>
      </c>
      <c r="I25" s="46" t="s">
        <v>58</v>
      </c>
      <c r="J25" s="46" t="s">
        <v>58</v>
      </c>
      <c r="K25" s="65">
        <f>SUM(K26:K26)</f>
        <v>0</v>
      </c>
      <c r="L25" s="52"/>
      <c r="M25" s="17"/>
      <c r="AI25" s="56" t="s">
        <v>72</v>
      </c>
      <c r="AS25" s="65">
        <f>SUM(AJ26:AJ26)</f>
        <v>0</v>
      </c>
      <c r="AT25" s="65">
        <f>SUM(AK26:AK26)</f>
        <v>0</v>
      </c>
      <c r="AU25" s="65">
        <f>SUM(AL26:AL26)</f>
        <v>0</v>
      </c>
    </row>
    <row r="26" spans="1:64" x14ac:dyDescent="0.25">
      <c r="A26" s="34" t="s">
        <v>85</v>
      </c>
      <c r="B26" s="41" t="s">
        <v>266</v>
      </c>
      <c r="C26" s="146" t="s">
        <v>477</v>
      </c>
      <c r="D26" s="147"/>
      <c r="E26" s="147"/>
      <c r="F26" s="147"/>
      <c r="G26" s="147"/>
      <c r="H26" s="41" t="s">
        <v>892</v>
      </c>
      <c r="I26" s="76">
        <f>'Stavební rozpočet'!I26</f>
        <v>6</v>
      </c>
      <c r="J26" s="60"/>
      <c r="K26" s="60">
        <f>I26*J26</f>
        <v>0</v>
      </c>
      <c r="L26" s="53" t="s">
        <v>906</v>
      </c>
      <c r="M26" s="17"/>
      <c r="Z26" s="28">
        <f>IF(AQ26="5",BJ26,0)</f>
        <v>0</v>
      </c>
      <c r="AB26" s="28">
        <f>IF(AQ26="1",BH26,0)</f>
        <v>0</v>
      </c>
      <c r="AC26" s="28">
        <f>IF(AQ26="1",BI26,0)</f>
        <v>0</v>
      </c>
      <c r="AD26" s="28">
        <f>IF(AQ26="7",BH26,0)</f>
        <v>0</v>
      </c>
      <c r="AE26" s="28">
        <f>IF(AQ26="7",BI26,0)</f>
        <v>0</v>
      </c>
      <c r="AF26" s="28">
        <f>IF(AQ26="2",BH26,0)</f>
        <v>0</v>
      </c>
      <c r="AG26" s="28">
        <f>IF(AQ26="2",BI26,0)</f>
        <v>0</v>
      </c>
      <c r="AH26" s="28">
        <f>IF(AQ26="0",BJ26,0)</f>
        <v>0</v>
      </c>
      <c r="AI26" s="56" t="s">
        <v>72</v>
      </c>
      <c r="AJ26" s="60">
        <f>IF(AN26=0,K26,0)</f>
        <v>0</v>
      </c>
      <c r="AK26" s="60">
        <f>IF(AN26=15,K26,0)</f>
        <v>0</v>
      </c>
      <c r="AL26" s="60">
        <f>IF(AN26=21,K26,0)</f>
        <v>0</v>
      </c>
      <c r="AN26" s="28">
        <v>21</v>
      </c>
      <c r="AO26" s="28">
        <f>J26*0</f>
        <v>0</v>
      </c>
      <c r="AP26" s="28">
        <f>J26*(1-0)</f>
        <v>0</v>
      </c>
      <c r="AQ26" s="57" t="s">
        <v>82</v>
      </c>
      <c r="AV26" s="28">
        <f>AW26+AX26</f>
        <v>0</v>
      </c>
      <c r="AW26" s="28">
        <f>I26*AO26</f>
        <v>0</v>
      </c>
      <c r="AX26" s="28">
        <f>I26*AP26</f>
        <v>0</v>
      </c>
      <c r="AY26" s="59" t="s">
        <v>919</v>
      </c>
      <c r="AZ26" s="59" t="s">
        <v>953</v>
      </c>
      <c r="BA26" s="56" t="s">
        <v>966</v>
      </c>
      <c r="BC26" s="28">
        <f>AW26+AX26</f>
        <v>0</v>
      </c>
      <c r="BD26" s="28">
        <f>J26/(100-BE26)*100</f>
        <v>0</v>
      </c>
      <c r="BE26" s="28">
        <v>0</v>
      </c>
      <c r="BF26" s="28">
        <f>26</f>
        <v>26</v>
      </c>
      <c r="BH26" s="60">
        <f>I26*AO26</f>
        <v>0</v>
      </c>
      <c r="BI26" s="60">
        <f>I26*AP26</f>
        <v>0</v>
      </c>
      <c r="BJ26" s="60">
        <f>I26*J26</f>
        <v>0</v>
      </c>
      <c r="BK26" s="60" t="s">
        <v>971</v>
      </c>
      <c r="BL26" s="28">
        <v>17</v>
      </c>
    </row>
    <row r="27" spans="1:64" x14ac:dyDescent="0.25">
      <c r="A27" s="17"/>
      <c r="C27" s="148" t="s">
        <v>478</v>
      </c>
      <c r="D27" s="149"/>
      <c r="E27" s="149"/>
      <c r="F27" s="149"/>
      <c r="G27" s="149"/>
      <c r="I27" s="77">
        <v>6</v>
      </c>
      <c r="L27" s="14"/>
      <c r="M27" s="17"/>
    </row>
    <row r="28" spans="1:64" x14ac:dyDescent="0.25">
      <c r="A28" s="33"/>
      <c r="B28" s="40" t="s">
        <v>108</v>
      </c>
      <c r="C28" s="144" t="s">
        <v>479</v>
      </c>
      <c r="D28" s="145"/>
      <c r="E28" s="145"/>
      <c r="F28" s="145"/>
      <c r="G28" s="145"/>
      <c r="H28" s="46" t="s">
        <v>58</v>
      </c>
      <c r="I28" s="46" t="s">
        <v>58</v>
      </c>
      <c r="J28" s="46" t="s">
        <v>58</v>
      </c>
      <c r="K28" s="65">
        <f>SUM(K29:K48)</f>
        <v>0</v>
      </c>
      <c r="L28" s="52"/>
      <c r="M28" s="17"/>
      <c r="AI28" s="56" t="s">
        <v>72</v>
      </c>
      <c r="AS28" s="65">
        <f>SUM(AJ29:AJ48)</f>
        <v>0</v>
      </c>
      <c r="AT28" s="65">
        <f>SUM(AK29:AK48)</f>
        <v>0</v>
      </c>
      <c r="AU28" s="65">
        <f>SUM(AL29:AL48)</f>
        <v>0</v>
      </c>
    </row>
    <row r="29" spans="1:64" x14ac:dyDescent="0.25">
      <c r="A29" s="34" t="s">
        <v>86</v>
      </c>
      <c r="B29" s="41" t="s">
        <v>267</v>
      </c>
      <c r="C29" s="146" t="s">
        <v>480</v>
      </c>
      <c r="D29" s="147"/>
      <c r="E29" s="147"/>
      <c r="F29" s="147"/>
      <c r="G29" s="147"/>
      <c r="H29" s="41" t="s">
        <v>892</v>
      </c>
      <c r="I29" s="76">
        <f>'Stavební rozpočet'!I29</f>
        <v>25.184999999999999</v>
      </c>
      <c r="J29" s="60"/>
      <c r="K29" s="60">
        <f>I29*J29</f>
        <v>0</v>
      </c>
      <c r="L29" s="53" t="s">
        <v>906</v>
      </c>
      <c r="M29" s="17"/>
      <c r="Z29" s="28">
        <f>IF(AQ29="5",BJ29,0)</f>
        <v>0</v>
      </c>
      <c r="AB29" s="28">
        <f>IF(AQ29="1",BH29,0)</f>
        <v>0</v>
      </c>
      <c r="AC29" s="28">
        <f>IF(AQ29="1",BI29,0)</f>
        <v>0</v>
      </c>
      <c r="AD29" s="28">
        <f>IF(AQ29="7",BH29,0)</f>
        <v>0</v>
      </c>
      <c r="AE29" s="28">
        <f>IF(AQ29="7",BI29,0)</f>
        <v>0</v>
      </c>
      <c r="AF29" s="28">
        <f>IF(AQ29="2",BH29,0)</f>
        <v>0</v>
      </c>
      <c r="AG29" s="28">
        <f>IF(AQ29="2",BI29,0)</f>
        <v>0</v>
      </c>
      <c r="AH29" s="28">
        <f>IF(AQ29="0",BJ29,0)</f>
        <v>0</v>
      </c>
      <c r="AI29" s="56" t="s">
        <v>72</v>
      </c>
      <c r="AJ29" s="60">
        <f>IF(AN29=0,K29,0)</f>
        <v>0</v>
      </c>
      <c r="AK29" s="60">
        <f>IF(AN29=15,K29,0)</f>
        <v>0</v>
      </c>
      <c r="AL29" s="60">
        <f>IF(AN29=21,K29,0)</f>
        <v>0</v>
      </c>
      <c r="AN29" s="28">
        <v>21</v>
      </c>
      <c r="AO29" s="28">
        <f>J29*0.918615563197238</f>
        <v>0</v>
      </c>
      <c r="AP29" s="28">
        <f>J29*(1-0.918615563197238)</f>
        <v>0</v>
      </c>
      <c r="AQ29" s="57" t="s">
        <v>82</v>
      </c>
      <c r="AV29" s="28">
        <f>AW29+AX29</f>
        <v>0</v>
      </c>
      <c r="AW29" s="28">
        <f>I29*AO29</f>
        <v>0</v>
      </c>
      <c r="AX29" s="28">
        <f>I29*AP29</f>
        <v>0</v>
      </c>
      <c r="AY29" s="59" t="s">
        <v>920</v>
      </c>
      <c r="AZ29" s="59" t="s">
        <v>954</v>
      </c>
      <c r="BA29" s="56" t="s">
        <v>966</v>
      </c>
      <c r="BC29" s="28">
        <f>AW29+AX29</f>
        <v>0</v>
      </c>
      <c r="BD29" s="28">
        <f>J29/(100-BE29)*100</f>
        <v>0</v>
      </c>
      <c r="BE29" s="28">
        <v>0</v>
      </c>
      <c r="BF29" s="28">
        <f>29</f>
        <v>29</v>
      </c>
      <c r="BH29" s="60">
        <f>I29*AO29</f>
        <v>0</v>
      </c>
      <c r="BI29" s="60">
        <f>I29*AP29</f>
        <v>0</v>
      </c>
      <c r="BJ29" s="60">
        <f>I29*J29</f>
        <v>0</v>
      </c>
      <c r="BK29" s="60" t="s">
        <v>971</v>
      </c>
      <c r="BL29" s="28">
        <v>27</v>
      </c>
    </row>
    <row r="30" spans="1:64" x14ac:dyDescent="0.25">
      <c r="A30" s="17"/>
      <c r="C30" s="148" t="s">
        <v>481</v>
      </c>
      <c r="D30" s="149"/>
      <c r="E30" s="149"/>
      <c r="F30" s="149"/>
      <c r="G30" s="149"/>
      <c r="I30" s="77">
        <v>9.8190000000000008</v>
      </c>
      <c r="L30" s="14"/>
      <c r="M30" s="17"/>
    </row>
    <row r="31" spans="1:64" x14ac:dyDescent="0.25">
      <c r="A31" s="17"/>
      <c r="C31" s="148" t="s">
        <v>482</v>
      </c>
      <c r="D31" s="149"/>
      <c r="E31" s="149"/>
      <c r="F31" s="149"/>
      <c r="G31" s="149"/>
      <c r="I31" s="77">
        <v>12.102</v>
      </c>
      <c r="L31" s="14"/>
      <c r="M31" s="17"/>
    </row>
    <row r="32" spans="1:64" x14ac:dyDescent="0.25">
      <c r="A32" s="17"/>
      <c r="C32" s="148" t="s">
        <v>483</v>
      </c>
      <c r="D32" s="149"/>
      <c r="E32" s="149"/>
      <c r="F32" s="149"/>
      <c r="G32" s="149"/>
      <c r="I32" s="77">
        <v>1.5389999999999999</v>
      </c>
      <c r="L32" s="14"/>
      <c r="M32" s="17"/>
    </row>
    <row r="33" spans="1:64" x14ac:dyDescent="0.25">
      <c r="A33" s="17"/>
      <c r="C33" s="148" t="s">
        <v>484</v>
      </c>
      <c r="D33" s="149"/>
      <c r="E33" s="149"/>
      <c r="F33" s="149"/>
      <c r="G33" s="149"/>
      <c r="I33" s="77">
        <v>1.7250000000000001</v>
      </c>
      <c r="L33" s="14"/>
      <c r="M33" s="17"/>
    </row>
    <row r="34" spans="1:64" x14ac:dyDescent="0.25">
      <c r="A34" s="34" t="s">
        <v>87</v>
      </c>
      <c r="B34" s="41" t="s">
        <v>268</v>
      </c>
      <c r="C34" s="146" t="s">
        <v>485</v>
      </c>
      <c r="D34" s="147"/>
      <c r="E34" s="147"/>
      <c r="F34" s="147"/>
      <c r="G34" s="147"/>
      <c r="H34" s="41" t="s">
        <v>892</v>
      </c>
      <c r="I34" s="76">
        <f>'Stavební rozpočet'!I34</f>
        <v>25.184999999999999</v>
      </c>
      <c r="J34" s="60"/>
      <c r="K34" s="60">
        <f>I34*J34</f>
        <v>0</v>
      </c>
      <c r="L34" s="53" t="s">
        <v>906</v>
      </c>
      <c r="M34" s="17"/>
      <c r="Z34" s="28">
        <f>IF(AQ34="5",BJ34,0)</f>
        <v>0</v>
      </c>
      <c r="AB34" s="28">
        <f>IF(AQ34="1",BH34,0)</f>
        <v>0</v>
      </c>
      <c r="AC34" s="28">
        <f>IF(AQ34="1",BI34,0)</f>
        <v>0</v>
      </c>
      <c r="AD34" s="28">
        <f>IF(AQ34="7",BH34,0)</f>
        <v>0</v>
      </c>
      <c r="AE34" s="28">
        <f>IF(AQ34="7",BI34,0)</f>
        <v>0</v>
      </c>
      <c r="AF34" s="28">
        <f>IF(AQ34="2",BH34,0)</f>
        <v>0</v>
      </c>
      <c r="AG34" s="28">
        <f>IF(AQ34="2",BI34,0)</f>
        <v>0</v>
      </c>
      <c r="AH34" s="28">
        <f>IF(AQ34="0",BJ34,0)</f>
        <v>0</v>
      </c>
      <c r="AI34" s="56" t="s">
        <v>72</v>
      </c>
      <c r="AJ34" s="60">
        <f>IF(AN34=0,K34,0)</f>
        <v>0</v>
      </c>
      <c r="AK34" s="60">
        <f>IF(AN34=15,K34,0)</f>
        <v>0</v>
      </c>
      <c r="AL34" s="60">
        <f>IF(AN34=21,K34,0)</f>
        <v>0</v>
      </c>
      <c r="AN34" s="28">
        <v>21</v>
      </c>
      <c r="AO34" s="28">
        <f>J34*0.534309917211024</f>
        <v>0</v>
      </c>
      <c r="AP34" s="28">
        <f>J34*(1-0.534309917211024)</f>
        <v>0</v>
      </c>
      <c r="AQ34" s="57" t="s">
        <v>82</v>
      </c>
      <c r="AV34" s="28">
        <f>AW34+AX34</f>
        <v>0</v>
      </c>
      <c r="AW34" s="28">
        <f>I34*AO34</f>
        <v>0</v>
      </c>
      <c r="AX34" s="28">
        <f>I34*AP34</f>
        <v>0</v>
      </c>
      <c r="AY34" s="59" t="s">
        <v>920</v>
      </c>
      <c r="AZ34" s="59" t="s">
        <v>954</v>
      </c>
      <c r="BA34" s="56" t="s">
        <v>966</v>
      </c>
      <c r="BC34" s="28">
        <f>AW34+AX34</f>
        <v>0</v>
      </c>
      <c r="BD34" s="28">
        <f>J34/(100-BE34)*100</f>
        <v>0</v>
      </c>
      <c r="BE34" s="28">
        <v>0</v>
      </c>
      <c r="BF34" s="28">
        <f>34</f>
        <v>34</v>
      </c>
      <c r="BH34" s="60">
        <f>I34*AO34</f>
        <v>0</v>
      </c>
      <c r="BI34" s="60">
        <f>I34*AP34</f>
        <v>0</v>
      </c>
      <c r="BJ34" s="60">
        <f>I34*J34</f>
        <v>0</v>
      </c>
      <c r="BK34" s="60" t="s">
        <v>971</v>
      </c>
      <c r="BL34" s="28">
        <v>27</v>
      </c>
    </row>
    <row r="35" spans="1:64" x14ac:dyDescent="0.25">
      <c r="A35" s="17"/>
      <c r="C35" s="148" t="s">
        <v>481</v>
      </c>
      <c r="D35" s="149"/>
      <c r="E35" s="149"/>
      <c r="F35" s="149"/>
      <c r="G35" s="149"/>
      <c r="I35" s="77">
        <v>9.8190000000000008</v>
      </c>
      <c r="L35" s="14"/>
      <c r="M35" s="17"/>
    </row>
    <row r="36" spans="1:64" x14ac:dyDescent="0.25">
      <c r="A36" s="17"/>
      <c r="C36" s="148" t="s">
        <v>482</v>
      </c>
      <c r="D36" s="149"/>
      <c r="E36" s="149"/>
      <c r="F36" s="149"/>
      <c r="G36" s="149"/>
      <c r="I36" s="77">
        <v>12.102</v>
      </c>
      <c r="L36" s="14"/>
      <c r="M36" s="17"/>
    </row>
    <row r="37" spans="1:64" x14ac:dyDescent="0.25">
      <c r="A37" s="17"/>
      <c r="C37" s="148" t="s">
        <v>483</v>
      </c>
      <c r="D37" s="149"/>
      <c r="E37" s="149"/>
      <c r="F37" s="149"/>
      <c r="G37" s="149"/>
      <c r="I37" s="77">
        <v>1.5389999999999999</v>
      </c>
      <c r="L37" s="14"/>
      <c r="M37" s="17"/>
    </row>
    <row r="38" spans="1:64" x14ac:dyDescent="0.25">
      <c r="A38" s="17"/>
      <c r="C38" s="148" t="s">
        <v>484</v>
      </c>
      <c r="D38" s="149"/>
      <c r="E38" s="149"/>
      <c r="F38" s="149"/>
      <c r="G38" s="149"/>
      <c r="I38" s="77">
        <v>1.7250000000000001</v>
      </c>
      <c r="L38" s="14"/>
      <c r="M38" s="17"/>
    </row>
    <row r="39" spans="1:64" x14ac:dyDescent="0.25">
      <c r="A39" s="34" t="s">
        <v>88</v>
      </c>
      <c r="B39" s="41" t="s">
        <v>269</v>
      </c>
      <c r="C39" s="146" t="s">
        <v>486</v>
      </c>
      <c r="D39" s="147"/>
      <c r="E39" s="147"/>
      <c r="F39" s="147"/>
      <c r="G39" s="147"/>
      <c r="H39" s="41" t="s">
        <v>893</v>
      </c>
      <c r="I39" s="76">
        <f>'Stavební rozpočet'!I39</f>
        <v>0.57399999999999995</v>
      </c>
      <c r="J39" s="60"/>
      <c r="K39" s="60">
        <f>I39*J39</f>
        <v>0</v>
      </c>
      <c r="L39" s="53" t="s">
        <v>906</v>
      </c>
      <c r="M39" s="17"/>
      <c r="Z39" s="28">
        <f>IF(AQ39="5",BJ39,0)</f>
        <v>0</v>
      </c>
      <c r="AB39" s="28">
        <f>IF(AQ39="1",BH39,0)</f>
        <v>0</v>
      </c>
      <c r="AC39" s="28">
        <f>IF(AQ39="1",BI39,0)</f>
        <v>0</v>
      </c>
      <c r="AD39" s="28">
        <f>IF(AQ39="7",BH39,0)</f>
        <v>0</v>
      </c>
      <c r="AE39" s="28">
        <f>IF(AQ39="7",BI39,0)</f>
        <v>0</v>
      </c>
      <c r="AF39" s="28">
        <f>IF(AQ39="2",BH39,0)</f>
        <v>0</v>
      </c>
      <c r="AG39" s="28">
        <f>IF(AQ39="2",BI39,0)</f>
        <v>0</v>
      </c>
      <c r="AH39" s="28">
        <f>IF(AQ39="0",BJ39,0)</f>
        <v>0</v>
      </c>
      <c r="AI39" s="56" t="s">
        <v>72</v>
      </c>
      <c r="AJ39" s="60">
        <f>IF(AN39=0,K39,0)</f>
        <v>0</v>
      </c>
      <c r="AK39" s="60">
        <f>IF(AN39=15,K39,0)</f>
        <v>0</v>
      </c>
      <c r="AL39" s="60">
        <f>IF(AN39=21,K39,0)</f>
        <v>0</v>
      </c>
      <c r="AN39" s="28">
        <v>21</v>
      </c>
      <c r="AO39" s="28">
        <f>J39*0.783083888604135</f>
        <v>0</v>
      </c>
      <c r="AP39" s="28">
        <f>J39*(1-0.783083888604135)</f>
        <v>0</v>
      </c>
      <c r="AQ39" s="57" t="s">
        <v>82</v>
      </c>
      <c r="AV39" s="28">
        <f>AW39+AX39</f>
        <v>0</v>
      </c>
      <c r="AW39" s="28">
        <f>I39*AO39</f>
        <v>0</v>
      </c>
      <c r="AX39" s="28">
        <f>I39*AP39</f>
        <v>0</v>
      </c>
      <c r="AY39" s="59" t="s">
        <v>920</v>
      </c>
      <c r="AZ39" s="59" t="s">
        <v>954</v>
      </c>
      <c r="BA39" s="56" t="s">
        <v>966</v>
      </c>
      <c r="BC39" s="28">
        <f>AW39+AX39</f>
        <v>0</v>
      </c>
      <c r="BD39" s="28">
        <f>J39/(100-BE39)*100</f>
        <v>0</v>
      </c>
      <c r="BE39" s="28">
        <v>0</v>
      </c>
      <c r="BF39" s="28">
        <f>39</f>
        <v>39</v>
      </c>
      <c r="BH39" s="60">
        <f>I39*AO39</f>
        <v>0</v>
      </c>
      <c r="BI39" s="60">
        <f>I39*AP39</f>
        <v>0</v>
      </c>
      <c r="BJ39" s="60">
        <f>I39*J39</f>
        <v>0</v>
      </c>
      <c r="BK39" s="60" t="s">
        <v>971</v>
      </c>
      <c r="BL39" s="28">
        <v>27</v>
      </c>
    </row>
    <row r="40" spans="1:64" x14ac:dyDescent="0.25">
      <c r="A40" s="17"/>
      <c r="B40" s="42" t="s">
        <v>265</v>
      </c>
      <c r="C40" s="150" t="s">
        <v>487</v>
      </c>
      <c r="D40" s="151"/>
      <c r="E40" s="151"/>
      <c r="F40" s="151"/>
      <c r="G40" s="151"/>
      <c r="H40" s="151"/>
      <c r="I40" s="151"/>
      <c r="J40" s="151"/>
      <c r="K40" s="151"/>
      <c r="L40" s="152"/>
      <c r="M40" s="17"/>
    </row>
    <row r="41" spans="1:64" x14ac:dyDescent="0.25">
      <c r="A41" s="17"/>
      <c r="C41" s="148" t="s">
        <v>488</v>
      </c>
      <c r="D41" s="149"/>
      <c r="E41" s="149"/>
      <c r="F41" s="149"/>
      <c r="G41" s="149"/>
      <c r="I41" s="77">
        <v>0.20899999999999999</v>
      </c>
      <c r="L41" s="14"/>
      <c r="M41" s="17"/>
    </row>
    <row r="42" spans="1:64" x14ac:dyDescent="0.25">
      <c r="A42" s="17"/>
      <c r="C42" s="148" t="s">
        <v>489</v>
      </c>
      <c r="D42" s="149"/>
      <c r="E42" s="149"/>
      <c r="F42" s="149"/>
      <c r="G42" s="149"/>
      <c r="I42" s="77">
        <v>0.25800000000000001</v>
      </c>
      <c r="L42" s="14"/>
      <c r="M42" s="17"/>
    </row>
    <row r="43" spans="1:64" x14ac:dyDescent="0.25">
      <c r="A43" s="17"/>
      <c r="C43" s="148" t="s">
        <v>490</v>
      </c>
      <c r="D43" s="149"/>
      <c r="E43" s="149"/>
      <c r="F43" s="149"/>
      <c r="G43" s="149"/>
      <c r="I43" s="77">
        <v>3.3000000000000002E-2</v>
      </c>
      <c r="L43" s="14"/>
      <c r="M43" s="17"/>
    </row>
    <row r="44" spans="1:64" x14ac:dyDescent="0.25">
      <c r="A44" s="17"/>
      <c r="C44" s="148" t="s">
        <v>491</v>
      </c>
      <c r="D44" s="149"/>
      <c r="E44" s="149"/>
      <c r="F44" s="149"/>
      <c r="G44" s="149"/>
      <c r="I44" s="77">
        <v>3.6999999999999998E-2</v>
      </c>
      <c r="L44" s="14"/>
      <c r="M44" s="17"/>
    </row>
    <row r="45" spans="1:64" x14ac:dyDescent="0.25">
      <c r="A45" s="17"/>
      <c r="C45" s="148" t="s">
        <v>492</v>
      </c>
      <c r="D45" s="149"/>
      <c r="E45" s="149"/>
      <c r="F45" s="149"/>
      <c r="G45" s="149"/>
      <c r="I45" s="77">
        <v>3.6999999999999998E-2</v>
      </c>
      <c r="L45" s="14"/>
      <c r="M45" s="17"/>
    </row>
    <row r="46" spans="1:64" x14ac:dyDescent="0.25">
      <c r="A46" s="34" t="s">
        <v>89</v>
      </c>
      <c r="B46" s="41" t="s">
        <v>270</v>
      </c>
      <c r="C46" s="146" t="s">
        <v>493</v>
      </c>
      <c r="D46" s="147"/>
      <c r="E46" s="147"/>
      <c r="F46" s="147"/>
      <c r="G46" s="147"/>
      <c r="H46" s="41" t="s">
        <v>891</v>
      </c>
      <c r="I46" s="76">
        <f>'Stavební rozpočet'!I46</f>
        <v>3.24</v>
      </c>
      <c r="J46" s="60"/>
      <c r="K46" s="60">
        <f>I46*J46</f>
        <v>0</v>
      </c>
      <c r="L46" s="53" t="s">
        <v>906</v>
      </c>
      <c r="M46" s="17"/>
      <c r="Z46" s="28">
        <f>IF(AQ46="5",BJ46,0)</f>
        <v>0</v>
      </c>
      <c r="AB46" s="28">
        <f>IF(AQ46="1",BH46,0)</f>
        <v>0</v>
      </c>
      <c r="AC46" s="28">
        <f>IF(AQ46="1",BI46,0)</f>
        <v>0</v>
      </c>
      <c r="AD46" s="28">
        <f>IF(AQ46="7",BH46,0)</f>
        <v>0</v>
      </c>
      <c r="AE46" s="28">
        <f>IF(AQ46="7",BI46,0)</f>
        <v>0</v>
      </c>
      <c r="AF46" s="28">
        <f>IF(AQ46="2",BH46,0)</f>
        <v>0</v>
      </c>
      <c r="AG46" s="28">
        <f>IF(AQ46="2",BI46,0)</f>
        <v>0</v>
      </c>
      <c r="AH46" s="28">
        <f>IF(AQ46="0",BJ46,0)</f>
        <v>0</v>
      </c>
      <c r="AI46" s="56" t="s">
        <v>72</v>
      </c>
      <c r="AJ46" s="60">
        <f>IF(AN46=0,K46,0)</f>
        <v>0</v>
      </c>
      <c r="AK46" s="60">
        <f>IF(AN46=15,K46,0)</f>
        <v>0</v>
      </c>
      <c r="AL46" s="60">
        <f>IF(AN46=21,K46,0)</f>
        <v>0</v>
      </c>
      <c r="AN46" s="28">
        <v>21</v>
      </c>
      <c r="AO46" s="28">
        <f>J46*0.204314187607305</f>
        <v>0</v>
      </c>
      <c r="AP46" s="28">
        <f>J46*(1-0.204314187607305)</f>
        <v>0</v>
      </c>
      <c r="AQ46" s="57" t="s">
        <v>82</v>
      </c>
      <c r="AV46" s="28">
        <f>AW46+AX46</f>
        <v>0</v>
      </c>
      <c r="AW46" s="28">
        <f>I46*AO46</f>
        <v>0</v>
      </c>
      <c r="AX46" s="28">
        <f>I46*AP46</f>
        <v>0</v>
      </c>
      <c r="AY46" s="59" t="s">
        <v>920</v>
      </c>
      <c r="AZ46" s="59" t="s">
        <v>954</v>
      </c>
      <c r="BA46" s="56" t="s">
        <v>966</v>
      </c>
      <c r="BC46" s="28">
        <f>AW46+AX46</f>
        <v>0</v>
      </c>
      <c r="BD46" s="28">
        <f>J46/(100-BE46)*100</f>
        <v>0</v>
      </c>
      <c r="BE46" s="28">
        <v>0</v>
      </c>
      <c r="BF46" s="28">
        <f>46</f>
        <v>46</v>
      </c>
      <c r="BH46" s="60">
        <f>I46*AO46</f>
        <v>0</v>
      </c>
      <c r="BI46" s="60">
        <f>I46*AP46</f>
        <v>0</v>
      </c>
      <c r="BJ46" s="60">
        <f>I46*J46</f>
        <v>0</v>
      </c>
      <c r="BK46" s="60" t="s">
        <v>971</v>
      </c>
      <c r="BL46" s="28">
        <v>27</v>
      </c>
    </row>
    <row r="47" spans="1:64" x14ac:dyDescent="0.25">
      <c r="A47" s="17"/>
      <c r="C47" s="148" t="s">
        <v>494</v>
      </c>
      <c r="D47" s="149"/>
      <c r="E47" s="149"/>
      <c r="F47" s="149"/>
      <c r="G47" s="149"/>
      <c r="I47" s="77">
        <v>3.24</v>
      </c>
      <c r="L47" s="14"/>
      <c r="M47" s="17"/>
    </row>
    <row r="48" spans="1:64" x14ac:dyDescent="0.25">
      <c r="A48" s="34" t="s">
        <v>90</v>
      </c>
      <c r="B48" s="41" t="s">
        <v>271</v>
      </c>
      <c r="C48" s="146" t="s">
        <v>495</v>
      </c>
      <c r="D48" s="147"/>
      <c r="E48" s="147"/>
      <c r="F48" s="147"/>
      <c r="G48" s="147"/>
      <c r="H48" s="41" t="s">
        <v>891</v>
      </c>
      <c r="I48" s="76">
        <f>'Stavební rozpočet'!I48</f>
        <v>3.24</v>
      </c>
      <c r="J48" s="60"/>
      <c r="K48" s="60">
        <f>I48*J48</f>
        <v>0</v>
      </c>
      <c r="L48" s="53" t="s">
        <v>906</v>
      </c>
      <c r="M48" s="17"/>
      <c r="Z48" s="28">
        <f>IF(AQ48="5",BJ48,0)</f>
        <v>0</v>
      </c>
      <c r="AB48" s="28">
        <f>IF(AQ48="1",BH48,0)</f>
        <v>0</v>
      </c>
      <c r="AC48" s="28">
        <f>IF(AQ48="1",BI48,0)</f>
        <v>0</v>
      </c>
      <c r="AD48" s="28">
        <f>IF(AQ48="7",BH48,0)</f>
        <v>0</v>
      </c>
      <c r="AE48" s="28">
        <f>IF(AQ48="7",BI48,0)</f>
        <v>0</v>
      </c>
      <c r="AF48" s="28">
        <f>IF(AQ48="2",BH48,0)</f>
        <v>0</v>
      </c>
      <c r="AG48" s="28">
        <f>IF(AQ48="2",BI48,0)</f>
        <v>0</v>
      </c>
      <c r="AH48" s="28">
        <f>IF(AQ48="0",BJ48,0)</f>
        <v>0</v>
      </c>
      <c r="AI48" s="56" t="s">
        <v>72</v>
      </c>
      <c r="AJ48" s="60">
        <f>IF(AN48=0,K48,0)</f>
        <v>0</v>
      </c>
      <c r="AK48" s="60">
        <f>IF(AN48=15,K48,0)</f>
        <v>0</v>
      </c>
      <c r="AL48" s="60">
        <f>IF(AN48=21,K48,0)</f>
        <v>0</v>
      </c>
      <c r="AN48" s="28">
        <v>21</v>
      </c>
      <c r="AO48" s="28">
        <f>J48*0</f>
        <v>0</v>
      </c>
      <c r="AP48" s="28">
        <f>J48*(1-0)</f>
        <v>0</v>
      </c>
      <c r="AQ48" s="57" t="s">
        <v>82</v>
      </c>
      <c r="AV48" s="28">
        <f>AW48+AX48</f>
        <v>0</v>
      </c>
      <c r="AW48" s="28">
        <f>I48*AO48</f>
        <v>0</v>
      </c>
      <c r="AX48" s="28">
        <f>I48*AP48</f>
        <v>0</v>
      </c>
      <c r="AY48" s="59" t="s">
        <v>920</v>
      </c>
      <c r="AZ48" s="59" t="s">
        <v>954</v>
      </c>
      <c r="BA48" s="56" t="s">
        <v>966</v>
      </c>
      <c r="BC48" s="28">
        <f>AW48+AX48</f>
        <v>0</v>
      </c>
      <c r="BD48" s="28">
        <f>J48/(100-BE48)*100</f>
        <v>0</v>
      </c>
      <c r="BE48" s="28">
        <v>0</v>
      </c>
      <c r="BF48" s="28">
        <f>48</f>
        <v>48</v>
      </c>
      <c r="BH48" s="60">
        <f>I48*AO48</f>
        <v>0</v>
      </c>
      <c r="BI48" s="60">
        <f>I48*AP48</f>
        <v>0</v>
      </c>
      <c r="BJ48" s="60">
        <f>I48*J48</f>
        <v>0</v>
      </c>
      <c r="BK48" s="60" t="s">
        <v>971</v>
      </c>
      <c r="BL48" s="28">
        <v>27</v>
      </c>
    </row>
    <row r="49" spans="1:64" x14ac:dyDescent="0.25">
      <c r="A49" s="33"/>
      <c r="B49" s="40" t="s">
        <v>112</v>
      </c>
      <c r="C49" s="144" t="s">
        <v>496</v>
      </c>
      <c r="D49" s="145"/>
      <c r="E49" s="145"/>
      <c r="F49" s="145"/>
      <c r="G49" s="145"/>
      <c r="H49" s="46" t="s">
        <v>58</v>
      </c>
      <c r="I49" s="46" t="s">
        <v>58</v>
      </c>
      <c r="J49" s="46" t="s">
        <v>58</v>
      </c>
      <c r="K49" s="65">
        <f>SUM(K50:K80)</f>
        <v>0</v>
      </c>
      <c r="L49" s="52"/>
      <c r="M49" s="17"/>
      <c r="AI49" s="56" t="s">
        <v>72</v>
      </c>
      <c r="AS49" s="65">
        <f>SUM(AJ50:AJ80)</f>
        <v>0</v>
      </c>
      <c r="AT49" s="65">
        <f>SUM(AK50:AK80)</f>
        <v>0</v>
      </c>
      <c r="AU49" s="65">
        <f>SUM(AL50:AL80)</f>
        <v>0</v>
      </c>
    </row>
    <row r="50" spans="1:64" x14ac:dyDescent="0.25">
      <c r="A50" s="34" t="s">
        <v>91</v>
      </c>
      <c r="B50" s="41" t="s">
        <v>272</v>
      </c>
      <c r="C50" s="146" t="s">
        <v>497</v>
      </c>
      <c r="D50" s="147"/>
      <c r="E50" s="147"/>
      <c r="F50" s="147"/>
      <c r="G50" s="147"/>
      <c r="H50" s="41" t="s">
        <v>891</v>
      </c>
      <c r="I50" s="76">
        <f>'Stavební rozpočet'!I50</f>
        <v>20.7</v>
      </c>
      <c r="J50" s="60"/>
      <c r="K50" s="60">
        <f>I50*J50</f>
        <v>0</v>
      </c>
      <c r="L50" s="53" t="s">
        <v>906</v>
      </c>
      <c r="M50" s="17"/>
      <c r="Z50" s="28">
        <f>IF(AQ50="5",BJ50,0)</f>
        <v>0</v>
      </c>
      <c r="AB50" s="28">
        <f>IF(AQ50="1",BH50,0)</f>
        <v>0</v>
      </c>
      <c r="AC50" s="28">
        <f>IF(AQ50="1",BI50,0)</f>
        <v>0</v>
      </c>
      <c r="AD50" s="28">
        <f>IF(AQ50="7",BH50,0)</f>
        <v>0</v>
      </c>
      <c r="AE50" s="28">
        <f>IF(AQ50="7",BI50,0)</f>
        <v>0</v>
      </c>
      <c r="AF50" s="28">
        <f>IF(AQ50="2",BH50,0)</f>
        <v>0</v>
      </c>
      <c r="AG50" s="28">
        <f>IF(AQ50="2",BI50,0)</f>
        <v>0</v>
      </c>
      <c r="AH50" s="28">
        <f>IF(AQ50="0",BJ50,0)</f>
        <v>0</v>
      </c>
      <c r="AI50" s="56" t="s">
        <v>72</v>
      </c>
      <c r="AJ50" s="60">
        <f>IF(AN50=0,K50,0)</f>
        <v>0</v>
      </c>
      <c r="AK50" s="60">
        <f>IF(AN50=15,K50,0)</f>
        <v>0</v>
      </c>
      <c r="AL50" s="60">
        <f>IF(AN50=21,K50,0)</f>
        <v>0</v>
      </c>
      <c r="AN50" s="28">
        <v>21</v>
      </c>
      <c r="AO50" s="28">
        <f>J50*0.839778260869565</f>
        <v>0</v>
      </c>
      <c r="AP50" s="28">
        <f>J50*(1-0.839778260869565)</f>
        <v>0</v>
      </c>
      <c r="AQ50" s="57" t="s">
        <v>82</v>
      </c>
      <c r="AV50" s="28">
        <f>AW50+AX50</f>
        <v>0</v>
      </c>
      <c r="AW50" s="28">
        <f>I50*AO50</f>
        <v>0</v>
      </c>
      <c r="AX50" s="28">
        <f>I50*AP50</f>
        <v>0</v>
      </c>
      <c r="AY50" s="59" t="s">
        <v>921</v>
      </c>
      <c r="AZ50" s="59" t="s">
        <v>955</v>
      </c>
      <c r="BA50" s="56" t="s">
        <v>966</v>
      </c>
      <c r="BC50" s="28">
        <f>AW50+AX50</f>
        <v>0</v>
      </c>
      <c r="BD50" s="28">
        <f>J50/(100-BE50)*100</f>
        <v>0</v>
      </c>
      <c r="BE50" s="28">
        <v>0</v>
      </c>
      <c r="BF50" s="28">
        <f>50</f>
        <v>50</v>
      </c>
      <c r="BH50" s="60">
        <f>I50*AO50</f>
        <v>0</v>
      </c>
      <c r="BI50" s="60">
        <f>I50*AP50</f>
        <v>0</v>
      </c>
      <c r="BJ50" s="60">
        <f>I50*J50</f>
        <v>0</v>
      </c>
      <c r="BK50" s="60" t="s">
        <v>971</v>
      </c>
      <c r="BL50" s="28">
        <v>31</v>
      </c>
    </row>
    <row r="51" spans="1:64" x14ac:dyDescent="0.25">
      <c r="A51" s="17"/>
      <c r="B51" s="42" t="s">
        <v>265</v>
      </c>
      <c r="C51" s="150" t="s">
        <v>498</v>
      </c>
      <c r="D51" s="151"/>
      <c r="E51" s="151"/>
      <c r="F51" s="151"/>
      <c r="G51" s="151"/>
      <c r="H51" s="151"/>
      <c r="I51" s="151"/>
      <c r="J51" s="151"/>
      <c r="K51" s="151"/>
      <c r="L51" s="152"/>
      <c r="M51" s="17"/>
    </row>
    <row r="52" spans="1:64" x14ac:dyDescent="0.25">
      <c r="A52" s="17"/>
      <c r="C52" s="148" t="s">
        <v>499</v>
      </c>
      <c r="D52" s="149"/>
      <c r="E52" s="149"/>
      <c r="F52" s="149"/>
      <c r="G52" s="149"/>
      <c r="I52" s="77">
        <v>28.05</v>
      </c>
      <c r="L52" s="14"/>
      <c r="M52" s="17"/>
    </row>
    <row r="53" spans="1:64" x14ac:dyDescent="0.25">
      <c r="A53" s="17"/>
      <c r="C53" s="148" t="s">
        <v>500</v>
      </c>
      <c r="D53" s="149"/>
      <c r="E53" s="149"/>
      <c r="F53" s="149"/>
      <c r="G53" s="149"/>
      <c r="I53" s="77">
        <v>-5.25</v>
      </c>
      <c r="L53" s="14"/>
      <c r="M53" s="17"/>
    </row>
    <row r="54" spans="1:64" x14ac:dyDescent="0.25">
      <c r="A54" s="17"/>
      <c r="C54" s="148" t="s">
        <v>501</v>
      </c>
      <c r="D54" s="149"/>
      <c r="E54" s="149"/>
      <c r="F54" s="149"/>
      <c r="G54" s="149"/>
      <c r="I54" s="77">
        <v>-2.1</v>
      </c>
      <c r="L54" s="14"/>
      <c r="M54" s="17"/>
    </row>
    <row r="55" spans="1:64" x14ac:dyDescent="0.25">
      <c r="A55" s="34" t="s">
        <v>92</v>
      </c>
      <c r="B55" s="41" t="s">
        <v>273</v>
      </c>
      <c r="C55" s="146" t="s">
        <v>502</v>
      </c>
      <c r="D55" s="147"/>
      <c r="E55" s="147"/>
      <c r="F55" s="147"/>
      <c r="G55" s="147"/>
      <c r="H55" s="41" t="s">
        <v>891</v>
      </c>
      <c r="I55" s="76">
        <f>'Stavební rozpočet'!I55</f>
        <v>27.82</v>
      </c>
      <c r="J55" s="60"/>
      <c r="K55" s="60">
        <f>I55*J55</f>
        <v>0</v>
      </c>
      <c r="L55" s="53" t="s">
        <v>906</v>
      </c>
      <c r="M55" s="17"/>
      <c r="Z55" s="28">
        <f>IF(AQ55="5",BJ55,0)</f>
        <v>0</v>
      </c>
      <c r="AB55" s="28">
        <f>IF(AQ55="1",BH55,0)</f>
        <v>0</v>
      </c>
      <c r="AC55" s="28">
        <f>IF(AQ55="1",BI55,0)</f>
        <v>0</v>
      </c>
      <c r="AD55" s="28">
        <f>IF(AQ55="7",BH55,0)</f>
        <v>0</v>
      </c>
      <c r="AE55" s="28">
        <f>IF(AQ55="7",BI55,0)</f>
        <v>0</v>
      </c>
      <c r="AF55" s="28">
        <f>IF(AQ55="2",BH55,0)</f>
        <v>0</v>
      </c>
      <c r="AG55" s="28">
        <f>IF(AQ55="2",BI55,0)</f>
        <v>0</v>
      </c>
      <c r="AH55" s="28">
        <f>IF(AQ55="0",BJ55,0)</f>
        <v>0</v>
      </c>
      <c r="AI55" s="56" t="s">
        <v>72</v>
      </c>
      <c r="AJ55" s="60">
        <f>IF(AN55=0,K55,0)</f>
        <v>0</v>
      </c>
      <c r="AK55" s="60">
        <f>IF(AN55=15,K55,0)</f>
        <v>0</v>
      </c>
      <c r="AL55" s="60">
        <f>IF(AN55=21,K55,0)</f>
        <v>0</v>
      </c>
      <c r="AN55" s="28">
        <v>21</v>
      </c>
      <c r="AO55" s="28">
        <f>J55*0.793137827379561</f>
        <v>0</v>
      </c>
      <c r="AP55" s="28">
        <f>J55*(1-0.793137827379561)</f>
        <v>0</v>
      </c>
      <c r="AQ55" s="57" t="s">
        <v>82</v>
      </c>
      <c r="AV55" s="28">
        <f>AW55+AX55</f>
        <v>0</v>
      </c>
      <c r="AW55" s="28">
        <f>I55*AO55</f>
        <v>0</v>
      </c>
      <c r="AX55" s="28">
        <f>I55*AP55</f>
        <v>0</v>
      </c>
      <c r="AY55" s="59" t="s">
        <v>921</v>
      </c>
      <c r="AZ55" s="59" t="s">
        <v>955</v>
      </c>
      <c r="BA55" s="56" t="s">
        <v>966</v>
      </c>
      <c r="BC55" s="28">
        <f>AW55+AX55</f>
        <v>0</v>
      </c>
      <c r="BD55" s="28">
        <f>J55/(100-BE55)*100</f>
        <v>0</v>
      </c>
      <c r="BE55" s="28">
        <v>0</v>
      </c>
      <c r="BF55" s="28">
        <f>55</f>
        <v>55</v>
      </c>
      <c r="BH55" s="60">
        <f>I55*AO55</f>
        <v>0</v>
      </c>
      <c r="BI55" s="60">
        <f>I55*AP55</f>
        <v>0</v>
      </c>
      <c r="BJ55" s="60">
        <f>I55*J55</f>
        <v>0</v>
      </c>
      <c r="BK55" s="60" t="s">
        <v>971</v>
      </c>
      <c r="BL55" s="28">
        <v>31</v>
      </c>
    </row>
    <row r="56" spans="1:64" x14ac:dyDescent="0.25">
      <c r="A56" s="17"/>
      <c r="B56" s="42" t="s">
        <v>265</v>
      </c>
      <c r="C56" s="150" t="s">
        <v>503</v>
      </c>
      <c r="D56" s="151"/>
      <c r="E56" s="151"/>
      <c r="F56" s="151"/>
      <c r="G56" s="151"/>
      <c r="H56" s="151"/>
      <c r="I56" s="151"/>
      <c r="J56" s="151"/>
      <c r="K56" s="151"/>
      <c r="L56" s="152"/>
      <c r="M56" s="17"/>
    </row>
    <row r="57" spans="1:64" x14ac:dyDescent="0.25">
      <c r="A57" s="17"/>
      <c r="C57" s="148" t="s">
        <v>504</v>
      </c>
      <c r="D57" s="149"/>
      <c r="E57" s="149"/>
      <c r="F57" s="149"/>
      <c r="G57" s="149"/>
      <c r="I57" s="77">
        <v>27.82</v>
      </c>
      <c r="L57" s="14"/>
      <c r="M57" s="17"/>
    </row>
    <row r="58" spans="1:64" x14ac:dyDescent="0.25">
      <c r="A58" s="34" t="s">
        <v>93</v>
      </c>
      <c r="B58" s="41" t="s">
        <v>274</v>
      </c>
      <c r="C58" s="146" t="s">
        <v>505</v>
      </c>
      <c r="D58" s="147"/>
      <c r="E58" s="147"/>
      <c r="F58" s="147"/>
      <c r="G58" s="147"/>
      <c r="H58" s="41" t="s">
        <v>891</v>
      </c>
      <c r="I58" s="76">
        <f>'Stavební rozpočet'!I58</f>
        <v>6.95</v>
      </c>
      <c r="J58" s="60"/>
      <c r="K58" s="60">
        <f>I58*J58</f>
        <v>0</v>
      </c>
      <c r="L58" s="53" t="s">
        <v>906</v>
      </c>
      <c r="M58" s="17"/>
      <c r="Z58" s="28">
        <f>IF(AQ58="5",BJ58,0)</f>
        <v>0</v>
      </c>
      <c r="AB58" s="28">
        <f>IF(AQ58="1",BH58,0)</f>
        <v>0</v>
      </c>
      <c r="AC58" s="28">
        <f>IF(AQ58="1",BI58,0)</f>
        <v>0</v>
      </c>
      <c r="AD58" s="28">
        <f>IF(AQ58="7",BH58,0)</f>
        <v>0</v>
      </c>
      <c r="AE58" s="28">
        <f>IF(AQ58="7",BI58,0)</f>
        <v>0</v>
      </c>
      <c r="AF58" s="28">
        <f>IF(AQ58="2",BH58,0)</f>
        <v>0</v>
      </c>
      <c r="AG58" s="28">
        <f>IF(AQ58="2",BI58,0)</f>
        <v>0</v>
      </c>
      <c r="AH58" s="28">
        <f>IF(AQ58="0",BJ58,0)</f>
        <v>0</v>
      </c>
      <c r="AI58" s="56" t="s">
        <v>72</v>
      </c>
      <c r="AJ58" s="60">
        <f>IF(AN58=0,K58,0)</f>
        <v>0</v>
      </c>
      <c r="AK58" s="60">
        <f>IF(AN58=15,K58,0)</f>
        <v>0</v>
      </c>
      <c r="AL58" s="60">
        <f>IF(AN58=21,K58,0)</f>
        <v>0</v>
      </c>
      <c r="AN58" s="28">
        <v>21</v>
      </c>
      <c r="AO58" s="28">
        <f>J58*0.830634854771784</f>
        <v>0</v>
      </c>
      <c r="AP58" s="28">
        <f>J58*(1-0.830634854771784)</f>
        <v>0</v>
      </c>
      <c r="AQ58" s="57" t="s">
        <v>82</v>
      </c>
      <c r="AV58" s="28">
        <f>AW58+AX58</f>
        <v>0</v>
      </c>
      <c r="AW58" s="28">
        <f>I58*AO58</f>
        <v>0</v>
      </c>
      <c r="AX58" s="28">
        <f>I58*AP58</f>
        <v>0</v>
      </c>
      <c r="AY58" s="59" t="s">
        <v>921</v>
      </c>
      <c r="AZ58" s="59" t="s">
        <v>955</v>
      </c>
      <c r="BA58" s="56" t="s">
        <v>966</v>
      </c>
      <c r="BC58" s="28">
        <f>AW58+AX58</f>
        <v>0</v>
      </c>
      <c r="BD58" s="28">
        <f>J58/(100-BE58)*100</f>
        <v>0</v>
      </c>
      <c r="BE58" s="28">
        <v>0</v>
      </c>
      <c r="BF58" s="28">
        <f>58</f>
        <v>58</v>
      </c>
      <c r="BH58" s="60">
        <f>I58*AO58</f>
        <v>0</v>
      </c>
      <c r="BI58" s="60">
        <f>I58*AP58</f>
        <v>0</v>
      </c>
      <c r="BJ58" s="60">
        <f>I58*J58</f>
        <v>0</v>
      </c>
      <c r="BK58" s="60" t="s">
        <v>971</v>
      </c>
      <c r="BL58" s="28">
        <v>31</v>
      </c>
    </row>
    <row r="59" spans="1:64" x14ac:dyDescent="0.25">
      <c r="A59" s="17"/>
      <c r="C59" s="148" t="s">
        <v>506</v>
      </c>
      <c r="D59" s="149"/>
      <c r="E59" s="149"/>
      <c r="F59" s="149"/>
      <c r="G59" s="149"/>
      <c r="I59" s="77">
        <v>12.6</v>
      </c>
      <c r="L59" s="14"/>
      <c r="M59" s="17"/>
    </row>
    <row r="60" spans="1:64" x14ac:dyDescent="0.25">
      <c r="A60" s="17"/>
      <c r="C60" s="148" t="s">
        <v>507</v>
      </c>
      <c r="D60" s="149"/>
      <c r="E60" s="149"/>
      <c r="F60" s="149"/>
      <c r="G60" s="149"/>
      <c r="I60" s="77">
        <v>-5.65</v>
      </c>
      <c r="L60" s="14"/>
      <c r="M60" s="17"/>
    </row>
    <row r="61" spans="1:64" x14ac:dyDescent="0.25">
      <c r="A61" s="34" t="s">
        <v>94</v>
      </c>
      <c r="B61" s="41" t="s">
        <v>275</v>
      </c>
      <c r="C61" s="146" t="s">
        <v>508</v>
      </c>
      <c r="D61" s="147"/>
      <c r="E61" s="147"/>
      <c r="F61" s="147"/>
      <c r="G61" s="147"/>
      <c r="H61" s="41" t="s">
        <v>894</v>
      </c>
      <c r="I61" s="76">
        <f>'Stavební rozpočet'!I61</f>
        <v>10</v>
      </c>
      <c r="J61" s="60"/>
      <c r="K61" s="60">
        <f>I61*J61</f>
        <v>0</v>
      </c>
      <c r="L61" s="53" t="s">
        <v>906</v>
      </c>
      <c r="M61" s="17"/>
      <c r="Z61" s="28">
        <f>IF(AQ61="5",BJ61,0)</f>
        <v>0</v>
      </c>
      <c r="AB61" s="28">
        <f>IF(AQ61="1",BH61,0)</f>
        <v>0</v>
      </c>
      <c r="AC61" s="28">
        <f>IF(AQ61="1",BI61,0)</f>
        <v>0</v>
      </c>
      <c r="AD61" s="28">
        <f>IF(AQ61="7",BH61,0)</f>
        <v>0</v>
      </c>
      <c r="AE61" s="28">
        <f>IF(AQ61="7",BI61,0)</f>
        <v>0</v>
      </c>
      <c r="AF61" s="28">
        <f>IF(AQ61="2",BH61,0)</f>
        <v>0</v>
      </c>
      <c r="AG61" s="28">
        <f>IF(AQ61="2",BI61,0)</f>
        <v>0</v>
      </c>
      <c r="AH61" s="28">
        <f>IF(AQ61="0",BJ61,0)</f>
        <v>0</v>
      </c>
      <c r="AI61" s="56" t="s">
        <v>72</v>
      </c>
      <c r="AJ61" s="60">
        <f>IF(AN61=0,K61,0)</f>
        <v>0</v>
      </c>
      <c r="AK61" s="60">
        <f>IF(AN61=15,K61,0)</f>
        <v>0</v>
      </c>
      <c r="AL61" s="60">
        <f>IF(AN61=21,K61,0)</f>
        <v>0</v>
      </c>
      <c r="AN61" s="28">
        <v>21</v>
      </c>
      <c r="AO61" s="28">
        <f>J61*0.523642644371574</f>
        <v>0</v>
      </c>
      <c r="AP61" s="28">
        <f>J61*(1-0.523642644371574)</f>
        <v>0</v>
      </c>
      <c r="AQ61" s="57" t="s">
        <v>82</v>
      </c>
      <c r="AV61" s="28">
        <f>AW61+AX61</f>
        <v>0</v>
      </c>
      <c r="AW61" s="28">
        <f>I61*AO61</f>
        <v>0</v>
      </c>
      <c r="AX61" s="28">
        <f>I61*AP61</f>
        <v>0</v>
      </c>
      <c r="AY61" s="59" t="s">
        <v>921</v>
      </c>
      <c r="AZ61" s="59" t="s">
        <v>955</v>
      </c>
      <c r="BA61" s="56" t="s">
        <v>966</v>
      </c>
      <c r="BC61" s="28">
        <f>AW61+AX61</f>
        <v>0</v>
      </c>
      <c r="BD61" s="28">
        <f>J61/(100-BE61)*100</f>
        <v>0</v>
      </c>
      <c r="BE61" s="28">
        <v>0</v>
      </c>
      <c r="BF61" s="28">
        <f>61</f>
        <v>61</v>
      </c>
      <c r="BH61" s="60">
        <f>I61*AO61</f>
        <v>0</v>
      </c>
      <c r="BI61" s="60">
        <f>I61*AP61</f>
        <v>0</v>
      </c>
      <c r="BJ61" s="60">
        <f>I61*J61</f>
        <v>0</v>
      </c>
      <c r="BK61" s="60" t="s">
        <v>971</v>
      </c>
      <c r="BL61" s="28">
        <v>31</v>
      </c>
    </row>
    <row r="62" spans="1:64" x14ac:dyDescent="0.25">
      <c r="A62" s="17"/>
      <c r="B62" s="42" t="s">
        <v>265</v>
      </c>
      <c r="C62" s="150" t="s">
        <v>509</v>
      </c>
      <c r="D62" s="151"/>
      <c r="E62" s="151"/>
      <c r="F62" s="151"/>
      <c r="G62" s="151"/>
      <c r="H62" s="151"/>
      <c r="I62" s="151"/>
      <c r="J62" s="151"/>
      <c r="K62" s="151"/>
      <c r="L62" s="152"/>
      <c r="M62" s="17"/>
    </row>
    <row r="63" spans="1:64" x14ac:dyDescent="0.25">
      <c r="A63" s="34" t="s">
        <v>95</v>
      </c>
      <c r="B63" s="41" t="s">
        <v>276</v>
      </c>
      <c r="C63" s="146" t="s">
        <v>510</v>
      </c>
      <c r="D63" s="147"/>
      <c r="E63" s="147"/>
      <c r="F63" s="147"/>
      <c r="G63" s="147"/>
      <c r="H63" s="41" t="s">
        <v>894</v>
      </c>
      <c r="I63" s="76">
        <f>'Stavební rozpočet'!I63</f>
        <v>12</v>
      </c>
      <c r="J63" s="60"/>
      <c r="K63" s="60">
        <f>I63*J63</f>
        <v>0</v>
      </c>
      <c r="L63" s="53" t="s">
        <v>906</v>
      </c>
      <c r="M63" s="17"/>
      <c r="Z63" s="28">
        <f>IF(AQ63="5",BJ63,0)</f>
        <v>0</v>
      </c>
      <c r="AB63" s="28">
        <f>IF(AQ63="1",BH63,0)</f>
        <v>0</v>
      </c>
      <c r="AC63" s="28">
        <f>IF(AQ63="1",BI63,0)</f>
        <v>0</v>
      </c>
      <c r="AD63" s="28">
        <f>IF(AQ63="7",BH63,0)</f>
        <v>0</v>
      </c>
      <c r="AE63" s="28">
        <f>IF(AQ63="7",BI63,0)</f>
        <v>0</v>
      </c>
      <c r="AF63" s="28">
        <f>IF(AQ63="2",BH63,0)</f>
        <v>0</v>
      </c>
      <c r="AG63" s="28">
        <f>IF(AQ63="2",BI63,0)</f>
        <v>0</v>
      </c>
      <c r="AH63" s="28">
        <f>IF(AQ63="0",BJ63,0)</f>
        <v>0</v>
      </c>
      <c r="AI63" s="56" t="s">
        <v>72</v>
      </c>
      <c r="AJ63" s="60">
        <f>IF(AN63=0,K63,0)</f>
        <v>0</v>
      </c>
      <c r="AK63" s="60">
        <f>IF(AN63=15,K63,0)</f>
        <v>0</v>
      </c>
      <c r="AL63" s="60">
        <f>IF(AN63=21,K63,0)</f>
        <v>0</v>
      </c>
      <c r="AN63" s="28">
        <v>21</v>
      </c>
      <c r="AO63" s="28">
        <f>J63*0.51681403913715</f>
        <v>0</v>
      </c>
      <c r="AP63" s="28">
        <f>J63*(1-0.51681403913715)</f>
        <v>0</v>
      </c>
      <c r="AQ63" s="57" t="s">
        <v>82</v>
      </c>
      <c r="AV63" s="28">
        <f>AW63+AX63</f>
        <v>0</v>
      </c>
      <c r="AW63" s="28">
        <f>I63*AO63</f>
        <v>0</v>
      </c>
      <c r="AX63" s="28">
        <f>I63*AP63</f>
        <v>0</v>
      </c>
      <c r="AY63" s="59" t="s">
        <v>921</v>
      </c>
      <c r="AZ63" s="59" t="s">
        <v>955</v>
      </c>
      <c r="BA63" s="56" t="s">
        <v>966</v>
      </c>
      <c r="BC63" s="28">
        <f>AW63+AX63</f>
        <v>0</v>
      </c>
      <c r="BD63" s="28">
        <f>J63/(100-BE63)*100</f>
        <v>0</v>
      </c>
      <c r="BE63" s="28">
        <v>0</v>
      </c>
      <c r="BF63" s="28">
        <f>63</f>
        <v>63</v>
      </c>
      <c r="BH63" s="60">
        <f>I63*AO63</f>
        <v>0</v>
      </c>
      <c r="BI63" s="60">
        <f>I63*AP63</f>
        <v>0</v>
      </c>
      <c r="BJ63" s="60">
        <f>I63*J63</f>
        <v>0</v>
      </c>
      <c r="BK63" s="60" t="s">
        <v>971</v>
      </c>
      <c r="BL63" s="28">
        <v>31</v>
      </c>
    </row>
    <row r="64" spans="1:64" x14ac:dyDescent="0.25">
      <c r="A64" s="17"/>
      <c r="B64" s="42" t="s">
        <v>265</v>
      </c>
      <c r="C64" s="150" t="s">
        <v>509</v>
      </c>
      <c r="D64" s="151"/>
      <c r="E64" s="151"/>
      <c r="F64" s="151"/>
      <c r="G64" s="151"/>
      <c r="H64" s="151"/>
      <c r="I64" s="151"/>
      <c r="J64" s="151"/>
      <c r="K64" s="151"/>
      <c r="L64" s="152"/>
      <c r="M64" s="17"/>
    </row>
    <row r="65" spans="1:64" x14ac:dyDescent="0.25">
      <c r="A65" s="34" t="s">
        <v>96</v>
      </c>
      <c r="B65" s="41" t="s">
        <v>277</v>
      </c>
      <c r="C65" s="146" t="s">
        <v>511</v>
      </c>
      <c r="D65" s="147"/>
      <c r="E65" s="147"/>
      <c r="F65" s="147"/>
      <c r="G65" s="147"/>
      <c r="H65" s="41" t="s">
        <v>895</v>
      </c>
      <c r="I65" s="76">
        <f>'Stavební rozpočet'!I65</f>
        <v>36.5</v>
      </c>
      <c r="J65" s="60"/>
      <c r="K65" s="60">
        <f>I65*J65</f>
        <v>0</v>
      </c>
      <c r="L65" s="53" t="s">
        <v>906</v>
      </c>
      <c r="M65" s="17"/>
      <c r="Z65" s="28">
        <f>IF(AQ65="5",BJ65,0)</f>
        <v>0</v>
      </c>
      <c r="AB65" s="28">
        <f>IF(AQ65="1",BH65,0)</f>
        <v>0</v>
      </c>
      <c r="AC65" s="28">
        <f>IF(AQ65="1",BI65,0)</f>
        <v>0</v>
      </c>
      <c r="AD65" s="28">
        <f>IF(AQ65="7",BH65,0)</f>
        <v>0</v>
      </c>
      <c r="AE65" s="28">
        <f>IF(AQ65="7",BI65,0)</f>
        <v>0</v>
      </c>
      <c r="AF65" s="28">
        <f>IF(AQ65="2",BH65,0)</f>
        <v>0</v>
      </c>
      <c r="AG65" s="28">
        <f>IF(AQ65="2",BI65,0)</f>
        <v>0</v>
      </c>
      <c r="AH65" s="28">
        <f>IF(AQ65="0",BJ65,0)</f>
        <v>0</v>
      </c>
      <c r="AI65" s="56" t="s">
        <v>72</v>
      </c>
      <c r="AJ65" s="60">
        <f>IF(AN65=0,K65,0)</f>
        <v>0</v>
      </c>
      <c r="AK65" s="60">
        <f>IF(AN65=15,K65,0)</f>
        <v>0</v>
      </c>
      <c r="AL65" s="60">
        <f>IF(AN65=21,K65,0)</f>
        <v>0</v>
      </c>
      <c r="AN65" s="28">
        <v>21</v>
      </c>
      <c r="AO65" s="28">
        <f>J65*0.213582848837209</f>
        <v>0</v>
      </c>
      <c r="AP65" s="28">
        <f>J65*(1-0.213582848837209)</f>
        <v>0</v>
      </c>
      <c r="AQ65" s="57" t="s">
        <v>82</v>
      </c>
      <c r="AV65" s="28">
        <f>AW65+AX65</f>
        <v>0</v>
      </c>
      <c r="AW65" s="28">
        <f>I65*AO65</f>
        <v>0</v>
      </c>
      <c r="AX65" s="28">
        <f>I65*AP65</f>
        <v>0</v>
      </c>
      <c r="AY65" s="59" t="s">
        <v>921</v>
      </c>
      <c r="AZ65" s="59" t="s">
        <v>955</v>
      </c>
      <c r="BA65" s="56" t="s">
        <v>966</v>
      </c>
      <c r="BC65" s="28">
        <f>AW65+AX65</f>
        <v>0</v>
      </c>
      <c r="BD65" s="28">
        <f>J65/(100-BE65)*100</f>
        <v>0</v>
      </c>
      <c r="BE65" s="28">
        <v>0</v>
      </c>
      <c r="BF65" s="28">
        <f>65</f>
        <v>65</v>
      </c>
      <c r="BH65" s="60">
        <f>I65*AO65</f>
        <v>0</v>
      </c>
      <c r="BI65" s="60">
        <f>I65*AP65</f>
        <v>0</v>
      </c>
      <c r="BJ65" s="60">
        <f>I65*J65</f>
        <v>0</v>
      </c>
      <c r="BK65" s="60" t="s">
        <v>971</v>
      </c>
      <c r="BL65" s="28">
        <v>31</v>
      </c>
    </row>
    <row r="66" spans="1:64" x14ac:dyDescent="0.25">
      <c r="A66" s="17"/>
      <c r="B66" s="42" t="s">
        <v>265</v>
      </c>
      <c r="C66" s="150" t="s">
        <v>512</v>
      </c>
      <c r="D66" s="151"/>
      <c r="E66" s="151"/>
      <c r="F66" s="151"/>
      <c r="G66" s="151"/>
      <c r="H66" s="151"/>
      <c r="I66" s="151"/>
      <c r="J66" s="151"/>
      <c r="K66" s="151"/>
      <c r="L66" s="152"/>
      <c r="M66" s="17"/>
    </row>
    <row r="67" spans="1:64" x14ac:dyDescent="0.25">
      <c r="A67" s="34" t="s">
        <v>97</v>
      </c>
      <c r="B67" s="41" t="s">
        <v>278</v>
      </c>
      <c r="C67" s="146" t="s">
        <v>513</v>
      </c>
      <c r="D67" s="147"/>
      <c r="E67" s="147"/>
      <c r="F67" s="147"/>
      <c r="G67" s="147"/>
      <c r="H67" s="41" t="s">
        <v>895</v>
      </c>
      <c r="I67" s="76">
        <f>'Stavební rozpočet'!I67</f>
        <v>27.5</v>
      </c>
      <c r="J67" s="60"/>
      <c r="K67" s="60">
        <f>I67*J67</f>
        <v>0</v>
      </c>
      <c r="L67" s="53" t="s">
        <v>906</v>
      </c>
      <c r="M67" s="17"/>
      <c r="Z67" s="28">
        <f>IF(AQ67="5",BJ67,0)</f>
        <v>0</v>
      </c>
      <c r="AB67" s="28">
        <f>IF(AQ67="1",BH67,0)</f>
        <v>0</v>
      </c>
      <c r="AC67" s="28">
        <f>IF(AQ67="1",BI67,0)</f>
        <v>0</v>
      </c>
      <c r="AD67" s="28">
        <f>IF(AQ67="7",BH67,0)</f>
        <v>0</v>
      </c>
      <c r="AE67" s="28">
        <f>IF(AQ67="7",BI67,0)</f>
        <v>0</v>
      </c>
      <c r="AF67" s="28">
        <f>IF(AQ67="2",BH67,0)</f>
        <v>0</v>
      </c>
      <c r="AG67" s="28">
        <f>IF(AQ67="2",BI67,0)</f>
        <v>0</v>
      </c>
      <c r="AH67" s="28">
        <f>IF(AQ67="0",BJ67,0)</f>
        <v>0</v>
      </c>
      <c r="AI67" s="56" t="s">
        <v>72</v>
      </c>
      <c r="AJ67" s="60">
        <f>IF(AN67=0,K67,0)</f>
        <v>0</v>
      </c>
      <c r="AK67" s="60">
        <f>IF(AN67=15,K67,0)</f>
        <v>0</v>
      </c>
      <c r="AL67" s="60">
        <f>IF(AN67=21,K67,0)</f>
        <v>0</v>
      </c>
      <c r="AN67" s="28">
        <v>21</v>
      </c>
      <c r="AO67" s="28">
        <f>J67*0.188050909090909</f>
        <v>0</v>
      </c>
      <c r="AP67" s="28">
        <f>J67*(1-0.188050909090909)</f>
        <v>0</v>
      </c>
      <c r="AQ67" s="57" t="s">
        <v>82</v>
      </c>
      <c r="AV67" s="28">
        <f>AW67+AX67</f>
        <v>0</v>
      </c>
      <c r="AW67" s="28">
        <f>I67*AO67</f>
        <v>0</v>
      </c>
      <c r="AX67" s="28">
        <f>I67*AP67</f>
        <v>0</v>
      </c>
      <c r="AY67" s="59" t="s">
        <v>921</v>
      </c>
      <c r="AZ67" s="59" t="s">
        <v>955</v>
      </c>
      <c r="BA67" s="56" t="s">
        <v>966</v>
      </c>
      <c r="BC67" s="28">
        <f>AW67+AX67</f>
        <v>0</v>
      </c>
      <c r="BD67" s="28">
        <f>J67/(100-BE67)*100</f>
        <v>0</v>
      </c>
      <c r="BE67" s="28">
        <v>0</v>
      </c>
      <c r="BF67" s="28">
        <f>67</f>
        <v>67</v>
      </c>
      <c r="BH67" s="60">
        <f>I67*AO67</f>
        <v>0</v>
      </c>
      <c r="BI67" s="60">
        <f>I67*AP67</f>
        <v>0</v>
      </c>
      <c r="BJ67" s="60">
        <f>I67*J67</f>
        <v>0</v>
      </c>
      <c r="BK67" s="60" t="s">
        <v>971</v>
      </c>
      <c r="BL67" s="28">
        <v>31</v>
      </c>
    </row>
    <row r="68" spans="1:64" x14ac:dyDescent="0.25">
      <c r="A68" s="17"/>
      <c r="B68" s="42" t="s">
        <v>265</v>
      </c>
      <c r="C68" s="150" t="s">
        <v>514</v>
      </c>
      <c r="D68" s="151"/>
      <c r="E68" s="151"/>
      <c r="F68" s="151"/>
      <c r="G68" s="151"/>
      <c r="H68" s="151"/>
      <c r="I68" s="151"/>
      <c r="J68" s="151"/>
      <c r="K68" s="151"/>
      <c r="L68" s="152"/>
      <c r="M68" s="17"/>
    </row>
    <row r="69" spans="1:64" x14ac:dyDescent="0.25">
      <c r="A69" s="34" t="s">
        <v>98</v>
      </c>
      <c r="B69" s="41" t="s">
        <v>279</v>
      </c>
      <c r="C69" s="146" t="s">
        <v>515</v>
      </c>
      <c r="D69" s="147"/>
      <c r="E69" s="147"/>
      <c r="F69" s="147"/>
      <c r="G69" s="147"/>
      <c r="H69" s="41" t="s">
        <v>895</v>
      </c>
      <c r="I69" s="76">
        <f>'Stavební rozpočet'!I69</f>
        <v>23</v>
      </c>
      <c r="J69" s="60"/>
      <c r="K69" s="60">
        <f>I69*J69</f>
        <v>0</v>
      </c>
      <c r="L69" s="53" t="s">
        <v>906</v>
      </c>
      <c r="M69" s="17"/>
      <c r="Z69" s="28">
        <f>IF(AQ69="5",BJ69,0)</f>
        <v>0</v>
      </c>
      <c r="AB69" s="28">
        <f>IF(AQ69="1",BH69,0)</f>
        <v>0</v>
      </c>
      <c r="AC69" s="28">
        <f>IF(AQ69="1",BI69,0)</f>
        <v>0</v>
      </c>
      <c r="AD69" s="28">
        <f>IF(AQ69="7",BH69,0)</f>
        <v>0</v>
      </c>
      <c r="AE69" s="28">
        <f>IF(AQ69="7",BI69,0)</f>
        <v>0</v>
      </c>
      <c r="AF69" s="28">
        <f>IF(AQ69="2",BH69,0)</f>
        <v>0</v>
      </c>
      <c r="AG69" s="28">
        <f>IF(AQ69="2",BI69,0)</f>
        <v>0</v>
      </c>
      <c r="AH69" s="28">
        <f>IF(AQ69="0",BJ69,0)</f>
        <v>0</v>
      </c>
      <c r="AI69" s="56" t="s">
        <v>72</v>
      </c>
      <c r="AJ69" s="60">
        <f>IF(AN69=0,K69,0)</f>
        <v>0</v>
      </c>
      <c r="AK69" s="60">
        <f>IF(AN69=15,K69,0)</f>
        <v>0</v>
      </c>
      <c r="AL69" s="60">
        <f>IF(AN69=21,K69,0)</f>
        <v>0</v>
      </c>
      <c r="AN69" s="28">
        <v>21</v>
      </c>
      <c r="AO69" s="28">
        <f>J69*0.220157303370787</f>
        <v>0</v>
      </c>
      <c r="AP69" s="28">
        <f>J69*(1-0.220157303370787)</f>
        <v>0</v>
      </c>
      <c r="AQ69" s="57" t="s">
        <v>82</v>
      </c>
      <c r="AV69" s="28">
        <f>AW69+AX69</f>
        <v>0</v>
      </c>
      <c r="AW69" s="28">
        <f>I69*AO69</f>
        <v>0</v>
      </c>
      <c r="AX69" s="28">
        <f>I69*AP69</f>
        <v>0</v>
      </c>
      <c r="AY69" s="59" t="s">
        <v>921</v>
      </c>
      <c r="AZ69" s="59" t="s">
        <v>955</v>
      </c>
      <c r="BA69" s="56" t="s">
        <v>966</v>
      </c>
      <c r="BC69" s="28">
        <f>AW69+AX69</f>
        <v>0</v>
      </c>
      <c r="BD69" s="28">
        <f>J69/(100-BE69)*100</f>
        <v>0</v>
      </c>
      <c r="BE69" s="28">
        <v>0</v>
      </c>
      <c r="BF69" s="28">
        <f>69</f>
        <v>69</v>
      </c>
      <c r="BH69" s="60">
        <f>I69*AO69</f>
        <v>0</v>
      </c>
      <c r="BI69" s="60">
        <f>I69*AP69</f>
        <v>0</v>
      </c>
      <c r="BJ69" s="60">
        <f>I69*J69</f>
        <v>0</v>
      </c>
      <c r="BK69" s="60" t="s">
        <v>971</v>
      </c>
      <c r="BL69" s="28">
        <v>31</v>
      </c>
    </row>
    <row r="70" spans="1:64" x14ac:dyDescent="0.25">
      <c r="A70" s="17"/>
      <c r="B70" s="42" t="s">
        <v>265</v>
      </c>
      <c r="C70" s="150" t="s">
        <v>516</v>
      </c>
      <c r="D70" s="151"/>
      <c r="E70" s="151"/>
      <c r="F70" s="151"/>
      <c r="G70" s="151"/>
      <c r="H70" s="151"/>
      <c r="I70" s="151"/>
      <c r="J70" s="151"/>
      <c r="K70" s="151"/>
      <c r="L70" s="152"/>
      <c r="M70" s="17"/>
    </row>
    <row r="71" spans="1:64" x14ac:dyDescent="0.25">
      <c r="A71" s="17"/>
      <c r="C71" s="148" t="s">
        <v>517</v>
      </c>
      <c r="D71" s="149"/>
      <c r="E71" s="149"/>
      <c r="F71" s="149"/>
      <c r="G71" s="149"/>
      <c r="H71" s="84"/>
      <c r="I71" s="77">
        <v>23</v>
      </c>
      <c r="J71" s="84"/>
      <c r="K71" s="84"/>
      <c r="L71" s="14"/>
      <c r="M71" s="17"/>
    </row>
    <row r="72" spans="1:64" x14ac:dyDescent="0.25">
      <c r="A72" s="34" t="s">
        <v>99</v>
      </c>
      <c r="B72" s="41" t="s">
        <v>280</v>
      </c>
      <c r="C72" s="146" t="s">
        <v>518</v>
      </c>
      <c r="D72" s="147"/>
      <c r="E72" s="147"/>
      <c r="F72" s="147"/>
      <c r="G72" s="147"/>
      <c r="H72" s="83" t="s">
        <v>895</v>
      </c>
      <c r="I72" s="76">
        <f>'Stavební rozpočet'!I72</f>
        <v>8</v>
      </c>
      <c r="J72" s="60"/>
      <c r="K72" s="60">
        <f>I72*J72</f>
        <v>0</v>
      </c>
      <c r="L72" s="53" t="s">
        <v>906</v>
      </c>
      <c r="M72" s="17"/>
      <c r="Z72" s="28">
        <f>IF(AQ72="5",BJ72,0)</f>
        <v>0</v>
      </c>
      <c r="AB72" s="28">
        <f>IF(AQ72="1",BH72,0)</f>
        <v>0</v>
      </c>
      <c r="AC72" s="28">
        <f>IF(AQ72="1",BI72,0)</f>
        <v>0</v>
      </c>
      <c r="AD72" s="28">
        <f>IF(AQ72="7",BH72,0)</f>
        <v>0</v>
      </c>
      <c r="AE72" s="28">
        <f>IF(AQ72="7",BI72,0)</f>
        <v>0</v>
      </c>
      <c r="AF72" s="28">
        <f>IF(AQ72="2",BH72,0)</f>
        <v>0</v>
      </c>
      <c r="AG72" s="28">
        <f>IF(AQ72="2",BI72,0)</f>
        <v>0</v>
      </c>
      <c r="AH72" s="28">
        <f>IF(AQ72="0",BJ72,0)</f>
        <v>0</v>
      </c>
      <c r="AI72" s="56" t="s">
        <v>72</v>
      </c>
      <c r="AJ72" s="60">
        <f>IF(AN72=0,K72,0)</f>
        <v>0</v>
      </c>
      <c r="AK72" s="60">
        <f>IF(AN72=15,K72,0)</f>
        <v>0</v>
      </c>
      <c r="AL72" s="60">
        <f>IF(AN72=21,K72,0)</f>
        <v>0</v>
      </c>
      <c r="AN72" s="28">
        <v>21</v>
      </c>
      <c r="AO72" s="28">
        <f>J72*0.221019310354552</f>
        <v>0</v>
      </c>
      <c r="AP72" s="28">
        <f>J72*(1-0.221019310354552)</f>
        <v>0</v>
      </c>
      <c r="AQ72" s="57" t="s">
        <v>82</v>
      </c>
      <c r="AV72" s="28">
        <f>AW72+AX72</f>
        <v>0</v>
      </c>
      <c r="AW72" s="28">
        <f>I72*AO72</f>
        <v>0</v>
      </c>
      <c r="AX72" s="28">
        <f>I72*AP72</f>
        <v>0</v>
      </c>
      <c r="AY72" s="59" t="s">
        <v>921</v>
      </c>
      <c r="AZ72" s="59" t="s">
        <v>955</v>
      </c>
      <c r="BA72" s="56" t="s">
        <v>966</v>
      </c>
      <c r="BC72" s="28">
        <f>AW72+AX72</f>
        <v>0</v>
      </c>
      <c r="BD72" s="28">
        <f>J72/(100-BE72)*100</f>
        <v>0</v>
      </c>
      <c r="BE72" s="28">
        <v>0</v>
      </c>
      <c r="BF72" s="28">
        <f>72</f>
        <v>72</v>
      </c>
      <c r="BH72" s="60">
        <f>I72*AO72</f>
        <v>0</v>
      </c>
      <c r="BI72" s="60">
        <f>I72*AP72</f>
        <v>0</v>
      </c>
      <c r="BJ72" s="60">
        <f>I72*J72</f>
        <v>0</v>
      </c>
      <c r="BK72" s="60" t="s">
        <v>971</v>
      </c>
      <c r="BL72" s="28">
        <v>31</v>
      </c>
    </row>
    <row r="73" spans="1:64" x14ac:dyDescent="0.25">
      <c r="A73" s="17"/>
      <c r="B73" s="42" t="s">
        <v>265</v>
      </c>
      <c r="C73" s="150" t="s">
        <v>519</v>
      </c>
      <c r="D73" s="151"/>
      <c r="E73" s="151"/>
      <c r="F73" s="151"/>
      <c r="G73" s="151"/>
      <c r="H73" s="151"/>
      <c r="I73" s="151"/>
      <c r="J73" s="151"/>
      <c r="K73" s="151"/>
      <c r="L73" s="152"/>
      <c r="M73" s="17"/>
    </row>
    <row r="74" spans="1:64" x14ac:dyDescent="0.25">
      <c r="A74" s="34" t="s">
        <v>100</v>
      </c>
      <c r="B74" s="41" t="s">
        <v>281</v>
      </c>
      <c r="C74" s="146" t="s">
        <v>518</v>
      </c>
      <c r="D74" s="147"/>
      <c r="E74" s="147"/>
      <c r="F74" s="147"/>
      <c r="G74" s="147"/>
      <c r="H74" s="83" t="s">
        <v>895</v>
      </c>
      <c r="I74" s="76">
        <f>'Stavební rozpočet'!I74</f>
        <v>4</v>
      </c>
      <c r="J74" s="60"/>
      <c r="K74" s="60">
        <f>I74*J74</f>
        <v>0</v>
      </c>
      <c r="L74" s="53" t="s">
        <v>906</v>
      </c>
      <c r="M74" s="17"/>
      <c r="Z74" s="28">
        <f>IF(AQ74="5",BJ74,0)</f>
        <v>0</v>
      </c>
      <c r="AB74" s="28">
        <f>IF(AQ74="1",BH74,0)</f>
        <v>0</v>
      </c>
      <c r="AC74" s="28">
        <f>IF(AQ74="1",BI74,0)</f>
        <v>0</v>
      </c>
      <c r="AD74" s="28">
        <f>IF(AQ74="7",BH74,0)</f>
        <v>0</v>
      </c>
      <c r="AE74" s="28">
        <f>IF(AQ74="7",BI74,0)</f>
        <v>0</v>
      </c>
      <c r="AF74" s="28">
        <f>IF(AQ74="2",BH74,0)</f>
        <v>0</v>
      </c>
      <c r="AG74" s="28">
        <f>IF(AQ74="2",BI74,0)</f>
        <v>0</v>
      </c>
      <c r="AH74" s="28">
        <f>IF(AQ74="0",BJ74,0)</f>
        <v>0</v>
      </c>
      <c r="AI74" s="56" t="s">
        <v>72</v>
      </c>
      <c r="AJ74" s="60">
        <f>IF(AN74=0,K74,0)</f>
        <v>0</v>
      </c>
      <c r="AK74" s="60">
        <f>IF(AN74=15,K74,0)</f>
        <v>0</v>
      </c>
      <c r="AL74" s="60">
        <f>IF(AN74=21,K74,0)</f>
        <v>0</v>
      </c>
      <c r="AN74" s="28">
        <v>21</v>
      </c>
      <c r="AO74" s="28">
        <f>J74*0.216605445746604</f>
        <v>0</v>
      </c>
      <c r="AP74" s="28">
        <f>J74*(1-0.216605445746604)</f>
        <v>0</v>
      </c>
      <c r="AQ74" s="57" t="s">
        <v>82</v>
      </c>
      <c r="AV74" s="28">
        <f>AW74+AX74</f>
        <v>0</v>
      </c>
      <c r="AW74" s="28">
        <f>I74*AO74</f>
        <v>0</v>
      </c>
      <c r="AX74" s="28">
        <f>I74*AP74</f>
        <v>0</v>
      </c>
      <c r="AY74" s="59" t="s">
        <v>921</v>
      </c>
      <c r="AZ74" s="59" t="s">
        <v>955</v>
      </c>
      <c r="BA74" s="56" t="s">
        <v>966</v>
      </c>
      <c r="BC74" s="28">
        <f>AW74+AX74</f>
        <v>0</v>
      </c>
      <c r="BD74" s="28">
        <f>J74/(100-BE74)*100</f>
        <v>0</v>
      </c>
      <c r="BE74" s="28">
        <v>0</v>
      </c>
      <c r="BF74" s="28">
        <f>74</f>
        <v>74</v>
      </c>
      <c r="BH74" s="60">
        <f>I74*AO74</f>
        <v>0</v>
      </c>
      <c r="BI74" s="60">
        <f>I74*AP74</f>
        <v>0</v>
      </c>
      <c r="BJ74" s="60">
        <f>I74*J74</f>
        <v>0</v>
      </c>
      <c r="BK74" s="60" t="s">
        <v>971</v>
      </c>
      <c r="BL74" s="28">
        <v>31</v>
      </c>
    </row>
    <row r="75" spans="1:64" x14ac:dyDescent="0.25">
      <c r="A75" s="17"/>
      <c r="B75" s="42" t="s">
        <v>265</v>
      </c>
      <c r="C75" s="150" t="s">
        <v>520</v>
      </c>
      <c r="D75" s="151"/>
      <c r="E75" s="151"/>
      <c r="F75" s="151"/>
      <c r="G75" s="151"/>
      <c r="H75" s="151"/>
      <c r="I75" s="151"/>
      <c r="J75" s="151"/>
      <c r="K75" s="151"/>
      <c r="L75" s="152"/>
      <c r="M75" s="17"/>
    </row>
    <row r="76" spans="1:64" x14ac:dyDescent="0.25">
      <c r="A76" s="34" t="s">
        <v>101</v>
      </c>
      <c r="B76" s="41" t="s">
        <v>282</v>
      </c>
      <c r="C76" s="146" t="s">
        <v>521</v>
      </c>
      <c r="D76" s="147"/>
      <c r="E76" s="147"/>
      <c r="F76" s="147"/>
      <c r="G76" s="147"/>
      <c r="H76" s="83" t="s">
        <v>895</v>
      </c>
      <c r="I76" s="76">
        <f>'Stavební rozpočet'!I76</f>
        <v>9.1</v>
      </c>
      <c r="J76" s="60"/>
      <c r="K76" s="60">
        <f>I76*J76</f>
        <v>0</v>
      </c>
      <c r="L76" s="53" t="s">
        <v>906</v>
      </c>
      <c r="M76" s="17"/>
      <c r="Z76" s="28">
        <f>IF(AQ76="5",BJ76,0)</f>
        <v>0</v>
      </c>
      <c r="AB76" s="28">
        <f>IF(AQ76="1",BH76,0)</f>
        <v>0</v>
      </c>
      <c r="AC76" s="28">
        <f>IF(AQ76="1",BI76,0)</f>
        <v>0</v>
      </c>
      <c r="AD76" s="28">
        <f>IF(AQ76="7",BH76,0)</f>
        <v>0</v>
      </c>
      <c r="AE76" s="28">
        <f>IF(AQ76="7",BI76,0)</f>
        <v>0</v>
      </c>
      <c r="AF76" s="28">
        <f>IF(AQ76="2",BH76,0)</f>
        <v>0</v>
      </c>
      <c r="AG76" s="28">
        <f>IF(AQ76="2",BI76,0)</f>
        <v>0</v>
      </c>
      <c r="AH76" s="28">
        <f>IF(AQ76="0",BJ76,0)</f>
        <v>0</v>
      </c>
      <c r="AI76" s="56" t="s">
        <v>72</v>
      </c>
      <c r="AJ76" s="60">
        <f>IF(AN76=0,K76,0)</f>
        <v>0</v>
      </c>
      <c r="AK76" s="60">
        <f>IF(AN76=15,K76,0)</f>
        <v>0</v>
      </c>
      <c r="AL76" s="60">
        <f>IF(AN76=21,K76,0)</f>
        <v>0</v>
      </c>
      <c r="AN76" s="28">
        <v>21</v>
      </c>
      <c r="AO76" s="28">
        <f>J76*0.870938555126893</f>
        <v>0</v>
      </c>
      <c r="AP76" s="28">
        <f>J76*(1-0.870938555126893)</f>
        <v>0</v>
      </c>
      <c r="AQ76" s="57" t="s">
        <v>82</v>
      </c>
      <c r="AV76" s="28">
        <f>AW76+AX76</f>
        <v>0</v>
      </c>
      <c r="AW76" s="28">
        <f>I76*AO76</f>
        <v>0</v>
      </c>
      <c r="AX76" s="28">
        <f>I76*AP76</f>
        <v>0</v>
      </c>
      <c r="AY76" s="59" t="s">
        <v>921</v>
      </c>
      <c r="AZ76" s="59" t="s">
        <v>955</v>
      </c>
      <c r="BA76" s="56" t="s">
        <v>966</v>
      </c>
      <c r="BC76" s="28">
        <f>AW76+AX76</f>
        <v>0</v>
      </c>
      <c r="BD76" s="28">
        <f>J76/(100-BE76)*100</f>
        <v>0</v>
      </c>
      <c r="BE76" s="28">
        <v>0</v>
      </c>
      <c r="BF76" s="28">
        <f>76</f>
        <v>76</v>
      </c>
      <c r="BH76" s="60">
        <f>I76*AO76</f>
        <v>0</v>
      </c>
      <c r="BI76" s="60">
        <f>I76*AP76</f>
        <v>0</v>
      </c>
      <c r="BJ76" s="60">
        <f>I76*J76</f>
        <v>0</v>
      </c>
      <c r="BK76" s="60" t="s">
        <v>971</v>
      </c>
      <c r="BL76" s="28">
        <v>31</v>
      </c>
    </row>
    <row r="77" spans="1:64" x14ac:dyDescent="0.25">
      <c r="A77" s="17"/>
      <c r="B77" s="42" t="s">
        <v>265</v>
      </c>
      <c r="C77" s="150" t="s">
        <v>522</v>
      </c>
      <c r="D77" s="151"/>
      <c r="E77" s="151"/>
      <c r="F77" s="151"/>
      <c r="G77" s="151"/>
      <c r="H77" s="151"/>
      <c r="I77" s="151"/>
      <c r="J77" s="151"/>
      <c r="K77" s="151"/>
      <c r="L77" s="152"/>
      <c r="M77" s="17"/>
    </row>
    <row r="78" spans="1:64" x14ac:dyDescent="0.25">
      <c r="A78" s="34" t="s">
        <v>102</v>
      </c>
      <c r="B78" s="41" t="s">
        <v>283</v>
      </c>
      <c r="C78" s="146" t="s">
        <v>523</v>
      </c>
      <c r="D78" s="147"/>
      <c r="E78" s="147"/>
      <c r="F78" s="147"/>
      <c r="G78" s="147"/>
      <c r="H78" s="83" t="s">
        <v>895</v>
      </c>
      <c r="I78" s="76">
        <f>'Stavební rozpočet'!I78</f>
        <v>4.95</v>
      </c>
      <c r="J78" s="60"/>
      <c r="K78" s="60">
        <f>I78*J78</f>
        <v>0</v>
      </c>
      <c r="L78" s="53" t="s">
        <v>906</v>
      </c>
      <c r="M78" s="17"/>
      <c r="Z78" s="28">
        <f>IF(AQ78="5",BJ78,0)</f>
        <v>0</v>
      </c>
      <c r="AB78" s="28">
        <f>IF(AQ78="1",BH78,0)</f>
        <v>0</v>
      </c>
      <c r="AC78" s="28">
        <f>IF(AQ78="1",BI78,0)</f>
        <v>0</v>
      </c>
      <c r="AD78" s="28">
        <f>IF(AQ78="7",BH78,0)</f>
        <v>0</v>
      </c>
      <c r="AE78" s="28">
        <f>IF(AQ78="7",BI78,0)</f>
        <v>0</v>
      </c>
      <c r="AF78" s="28">
        <f>IF(AQ78="2",BH78,0)</f>
        <v>0</v>
      </c>
      <c r="AG78" s="28">
        <f>IF(AQ78="2",BI78,0)</f>
        <v>0</v>
      </c>
      <c r="AH78" s="28">
        <f>IF(AQ78="0",BJ78,0)</f>
        <v>0</v>
      </c>
      <c r="AI78" s="56" t="s">
        <v>72</v>
      </c>
      <c r="AJ78" s="60">
        <f>IF(AN78=0,K78,0)</f>
        <v>0</v>
      </c>
      <c r="AK78" s="60">
        <f>IF(AN78=15,K78,0)</f>
        <v>0</v>
      </c>
      <c r="AL78" s="60">
        <f>IF(AN78=21,K78,0)</f>
        <v>0</v>
      </c>
      <c r="AN78" s="28">
        <v>21</v>
      </c>
      <c r="AO78" s="28">
        <f>J78*0</f>
        <v>0</v>
      </c>
      <c r="AP78" s="28">
        <f>J78*(1-0)</f>
        <v>0</v>
      </c>
      <c r="AQ78" s="57" t="s">
        <v>82</v>
      </c>
      <c r="AV78" s="28">
        <f>AW78+AX78</f>
        <v>0</v>
      </c>
      <c r="AW78" s="28">
        <f>I78*AO78</f>
        <v>0</v>
      </c>
      <c r="AX78" s="28">
        <f>I78*AP78</f>
        <v>0</v>
      </c>
      <c r="AY78" s="59" t="s">
        <v>921</v>
      </c>
      <c r="AZ78" s="59" t="s">
        <v>955</v>
      </c>
      <c r="BA78" s="56" t="s">
        <v>966</v>
      </c>
      <c r="BC78" s="28">
        <f>AW78+AX78</f>
        <v>0</v>
      </c>
      <c r="BD78" s="28">
        <f>J78/(100-BE78)*100</f>
        <v>0</v>
      </c>
      <c r="BE78" s="28">
        <v>0</v>
      </c>
      <c r="BF78" s="28">
        <f>78</f>
        <v>78</v>
      </c>
      <c r="BH78" s="60">
        <f>I78*AO78</f>
        <v>0</v>
      </c>
      <c r="BI78" s="60">
        <f>I78*AP78</f>
        <v>0</v>
      </c>
      <c r="BJ78" s="60">
        <f>I78*J78</f>
        <v>0</v>
      </c>
      <c r="BK78" s="60" t="s">
        <v>971</v>
      </c>
      <c r="BL78" s="28">
        <v>31</v>
      </c>
    </row>
    <row r="79" spans="1:64" x14ac:dyDescent="0.25">
      <c r="A79" s="17"/>
      <c r="C79" s="148" t="s">
        <v>524</v>
      </c>
      <c r="D79" s="149"/>
      <c r="E79" s="149"/>
      <c r="F79" s="149"/>
      <c r="G79" s="149"/>
      <c r="H79" s="84"/>
      <c r="I79" s="77">
        <v>4.95</v>
      </c>
      <c r="J79" s="84"/>
      <c r="K79" s="84"/>
      <c r="L79" s="14"/>
      <c r="M79" s="17"/>
    </row>
    <row r="80" spans="1:64" x14ac:dyDescent="0.25">
      <c r="A80" s="34" t="s">
        <v>103</v>
      </c>
      <c r="B80" s="41" t="s">
        <v>284</v>
      </c>
      <c r="C80" s="146" t="s">
        <v>525</v>
      </c>
      <c r="D80" s="147"/>
      <c r="E80" s="147"/>
      <c r="F80" s="147"/>
      <c r="G80" s="147"/>
      <c r="H80" s="83" t="s">
        <v>891</v>
      </c>
      <c r="I80" s="76">
        <f>'Stavební rozpočet'!I80</f>
        <v>6.75</v>
      </c>
      <c r="J80" s="60"/>
      <c r="K80" s="60">
        <f>I80*J80</f>
        <v>0</v>
      </c>
      <c r="L80" s="53" t="s">
        <v>906</v>
      </c>
      <c r="M80" s="17"/>
      <c r="Z80" s="28">
        <f>IF(AQ80="5",BJ80,0)</f>
        <v>0</v>
      </c>
      <c r="AB80" s="28">
        <f>IF(AQ80="1",BH80,0)</f>
        <v>0</v>
      </c>
      <c r="AC80" s="28">
        <f>IF(AQ80="1",BI80,0)</f>
        <v>0</v>
      </c>
      <c r="AD80" s="28">
        <f>IF(AQ80="7",BH80,0)</f>
        <v>0</v>
      </c>
      <c r="AE80" s="28">
        <f>IF(AQ80="7",BI80,0)</f>
        <v>0</v>
      </c>
      <c r="AF80" s="28">
        <f>IF(AQ80="2",BH80,0)</f>
        <v>0</v>
      </c>
      <c r="AG80" s="28">
        <f>IF(AQ80="2",BI80,0)</f>
        <v>0</v>
      </c>
      <c r="AH80" s="28">
        <f>IF(AQ80="0",BJ80,0)</f>
        <v>0</v>
      </c>
      <c r="AI80" s="56" t="s">
        <v>72</v>
      </c>
      <c r="AJ80" s="60">
        <f>IF(AN80=0,K80,0)</f>
        <v>0</v>
      </c>
      <c r="AK80" s="60">
        <f>IF(AN80=15,K80,0)</f>
        <v>0</v>
      </c>
      <c r="AL80" s="60">
        <f>IF(AN80=21,K80,0)</f>
        <v>0</v>
      </c>
      <c r="AN80" s="28">
        <v>21</v>
      </c>
      <c r="AO80" s="28">
        <f>J80*0.550421686746988</f>
        <v>0</v>
      </c>
      <c r="AP80" s="28">
        <f>J80*(1-0.550421686746988)</f>
        <v>0</v>
      </c>
      <c r="AQ80" s="57" t="s">
        <v>82</v>
      </c>
      <c r="AV80" s="28">
        <f>AW80+AX80</f>
        <v>0</v>
      </c>
      <c r="AW80" s="28">
        <f>I80*AO80</f>
        <v>0</v>
      </c>
      <c r="AX80" s="28">
        <f>I80*AP80</f>
        <v>0</v>
      </c>
      <c r="AY80" s="59" t="s">
        <v>921</v>
      </c>
      <c r="AZ80" s="59" t="s">
        <v>955</v>
      </c>
      <c r="BA80" s="56" t="s">
        <v>966</v>
      </c>
      <c r="BC80" s="28">
        <f>AW80+AX80</f>
        <v>0</v>
      </c>
      <c r="BD80" s="28">
        <f>J80/(100-BE80)*100</f>
        <v>0</v>
      </c>
      <c r="BE80" s="28">
        <v>0</v>
      </c>
      <c r="BF80" s="28">
        <f>80</f>
        <v>80</v>
      </c>
      <c r="BH80" s="60">
        <f>I80*AO80</f>
        <v>0</v>
      </c>
      <c r="BI80" s="60">
        <f>I80*AP80</f>
        <v>0</v>
      </c>
      <c r="BJ80" s="60">
        <f>I80*J80</f>
        <v>0</v>
      </c>
      <c r="BK80" s="60" t="s">
        <v>971</v>
      </c>
      <c r="BL80" s="28">
        <v>31</v>
      </c>
    </row>
    <row r="81" spans="1:64" x14ac:dyDescent="0.25">
      <c r="A81" s="17"/>
      <c r="B81" s="42" t="s">
        <v>265</v>
      </c>
      <c r="C81" s="150" t="s">
        <v>526</v>
      </c>
      <c r="D81" s="151"/>
      <c r="E81" s="151"/>
      <c r="F81" s="151"/>
      <c r="G81" s="151"/>
      <c r="H81" s="151"/>
      <c r="I81" s="151"/>
      <c r="J81" s="151"/>
      <c r="K81" s="151"/>
      <c r="L81" s="152"/>
      <c r="M81" s="17"/>
    </row>
    <row r="82" spans="1:64" x14ac:dyDescent="0.25">
      <c r="A82" s="17"/>
      <c r="C82" s="148" t="s">
        <v>527</v>
      </c>
      <c r="D82" s="149"/>
      <c r="E82" s="149"/>
      <c r="F82" s="149"/>
      <c r="G82" s="149"/>
      <c r="I82" s="77">
        <v>6.75</v>
      </c>
      <c r="L82" s="14"/>
      <c r="M82" s="17"/>
    </row>
    <row r="83" spans="1:64" x14ac:dyDescent="0.25">
      <c r="A83" s="33"/>
      <c r="B83" s="40" t="s">
        <v>115</v>
      </c>
      <c r="C83" s="144" t="s">
        <v>528</v>
      </c>
      <c r="D83" s="145"/>
      <c r="E83" s="145"/>
      <c r="F83" s="145"/>
      <c r="G83" s="145"/>
      <c r="H83" s="46" t="s">
        <v>58</v>
      </c>
      <c r="I83" s="46" t="s">
        <v>58</v>
      </c>
      <c r="J83" s="46" t="s">
        <v>58</v>
      </c>
      <c r="K83" s="65">
        <f>SUM(K84:K101)</f>
        <v>0</v>
      </c>
      <c r="L83" s="52"/>
      <c r="M83" s="17"/>
      <c r="AI83" s="56" t="s">
        <v>72</v>
      </c>
      <c r="AS83" s="65">
        <f>SUM(AJ84:AJ101)</f>
        <v>0</v>
      </c>
      <c r="AT83" s="65">
        <f>SUM(AK84:AK101)</f>
        <v>0</v>
      </c>
      <c r="AU83" s="65">
        <f>SUM(AL84:AL101)</f>
        <v>0</v>
      </c>
    </row>
    <row r="84" spans="1:64" x14ac:dyDescent="0.25">
      <c r="A84" s="34" t="s">
        <v>104</v>
      </c>
      <c r="B84" s="41" t="s">
        <v>285</v>
      </c>
      <c r="C84" s="146" t="s">
        <v>529</v>
      </c>
      <c r="D84" s="147"/>
      <c r="E84" s="147"/>
      <c r="F84" s="147"/>
      <c r="G84" s="147"/>
      <c r="H84" s="41" t="s">
        <v>891</v>
      </c>
      <c r="I84" s="76">
        <f>'Stavební rozpočet'!I84</f>
        <v>75.456000000000003</v>
      </c>
      <c r="J84" s="60"/>
      <c r="K84" s="60">
        <f>I84*J84</f>
        <v>0</v>
      </c>
      <c r="L84" s="53" t="s">
        <v>906</v>
      </c>
      <c r="M84" s="17"/>
      <c r="Z84" s="28">
        <f>IF(AQ84="5",BJ84,0)</f>
        <v>0</v>
      </c>
      <c r="AB84" s="28">
        <f>IF(AQ84="1",BH84,0)</f>
        <v>0</v>
      </c>
      <c r="AC84" s="28">
        <f>IF(AQ84="1",BI84,0)</f>
        <v>0</v>
      </c>
      <c r="AD84" s="28">
        <f>IF(AQ84="7",BH84,0)</f>
        <v>0</v>
      </c>
      <c r="AE84" s="28">
        <f>IF(AQ84="7",BI84,0)</f>
        <v>0</v>
      </c>
      <c r="AF84" s="28">
        <f>IF(AQ84="2",BH84,0)</f>
        <v>0</v>
      </c>
      <c r="AG84" s="28">
        <f>IF(AQ84="2",BI84,0)</f>
        <v>0</v>
      </c>
      <c r="AH84" s="28">
        <f>IF(AQ84="0",BJ84,0)</f>
        <v>0</v>
      </c>
      <c r="AI84" s="56" t="s">
        <v>72</v>
      </c>
      <c r="AJ84" s="60">
        <f>IF(AN84=0,K84,0)</f>
        <v>0</v>
      </c>
      <c r="AK84" s="60">
        <f>IF(AN84=15,K84,0)</f>
        <v>0</v>
      </c>
      <c r="AL84" s="60">
        <f>IF(AN84=21,K84,0)</f>
        <v>0</v>
      </c>
      <c r="AN84" s="28">
        <v>21</v>
      </c>
      <c r="AO84" s="28">
        <f>J84*0.743326172478441</f>
        <v>0</v>
      </c>
      <c r="AP84" s="28">
        <f>J84*(1-0.743326172478441)</f>
        <v>0</v>
      </c>
      <c r="AQ84" s="57" t="s">
        <v>82</v>
      </c>
      <c r="AV84" s="28">
        <f>AW84+AX84</f>
        <v>0</v>
      </c>
      <c r="AW84" s="28">
        <f>I84*AO84</f>
        <v>0</v>
      </c>
      <c r="AX84" s="28">
        <f>I84*AP84</f>
        <v>0</v>
      </c>
      <c r="AY84" s="59" t="s">
        <v>922</v>
      </c>
      <c r="AZ84" s="59" t="s">
        <v>955</v>
      </c>
      <c r="BA84" s="56" t="s">
        <v>966</v>
      </c>
      <c r="BC84" s="28">
        <f>AW84+AX84</f>
        <v>0</v>
      </c>
      <c r="BD84" s="28">
        <f>J84/(100-BE84)*100</f>
        <v>0</v>
      </c>
      <c r="BE84" s="28">
        <v>0</v>
      </c>
      <c r="BF84" s="28">
        <f>84</f>
        <v>84</v>
      </c>
      <c r="BH84" s="60">
        <f>I84*AO84</f>
        <v>0</v>
      </c>
      <c r="BI84" s="60">
        <f>I84*AP84</f>
        <v>0</v>
      </c>
      <c r="BJ84" s="60">
        <f>I84*J84</f>
        <v>0</v>
      </c>
      <c r="BK84" s="60" t="s">
        <v>971</v>
      </c>
      <c r="BL84" s="28">
        <v>34</v>
      </c>
    </row>
    <row r="85" spans="1:64" x14ac:dyDescent="0.25">
      <c r="A85" s="17"/>
      <c r="C85" s="148" t="s">
        <v>530</v>
      </c>
      <c r="D85" s="149"/>
      <c r="E85" s="149"/>
      <c r="F85" s="149"/>
      <c r="G85" s="149"/>
      <c r="I85" s="77">
        <v>0</v>
      </c>
      <c r="L85" s="14"/>
      <c r="M85" s="17"/>
    </row>
    <row r="86" spans="1:64" x14ac:dyDescent="0.25">
      <c r="A86" s="17"/>
      <c r="C86" s="148" t="s">
        <v>531</v>
      </c>
      <c r="D86" s="149"/>
      <c r="E86" s="149"/>
      <c r="F86" s="149"/>
      <c r="G86" s="149"/>
      <c r="I86" s="77">
        <v>10.842000000000001</v>
      </c>
      <c r="L86" s="14"/>
      <c r="M86" s="17"/>
    </row>
    <row r="87" spans="1:64" x14ac:dyDescent="0.25">
      <c r="A87" s="17"/>
      <c r="C87" s="148" t="s">
        <v>532</v>
      </c>
      <c r="D87" s="149"/>
      <c r="E87" s="149"/>
      <c r="F87" s="149"/>
      <c r="G87" s="149"/>
      <c r="I87" s="77">
        <v>0</v>
      </c>
      <c r="L87" s="14"/>
      <c r="M87" s="17"/>
    </row>
    <row r="88" spans="1:64" x14ac:dyDescent="0.25">
      <c r="A88" s="17"/>
      <c r="C88" s="148" t="s">
        <v>533</v>
      </c>
      <c r="D88" s="149"/>
      <c r="E88" s="149"/>
      <c r="F88" s="149"/>
      <c r="G88" s="149"/>
      <c r="I88" s="77">
        <v>21.475999999999999</v>
      </c>
      <c r="L88" s="14"/>
      <c r="M88" s="17"/>
    </row>
    <row r="89" spans="1:64" x14ac:dyDescent="0.25">
      <c r="A89" s="17"/>
      <c r="C89" s="148" t="s">
        <v>534</v>
      </c>
      <c r="D89" s="149"/>
      <c r="E89" s="149"/>
      <c r="F89" s="149"/>
      <c r="G89" s="149"/>
      <c r="I89" s="77">
        <v>27.611000000000001</v>
      </c>
      <c r="L89" s="14"/>
      <c r="M89" s="17"/>
    </row>
    <row r="90" spans="1:64" x14ac:dyDescent="0.25">
      <c r="A90" s="17"/>
      <c r="C90" s="148" t="s">
        <v>535</v>
      </c>
      <c r="D90" s="149"/>
      <c r="E90" s="149"/>
      <c r="F90" s="149"/>
      <c r="G90" s="149"/>
      <c r="I90" s="77">
        <v>14.006</v>
      </c>
      <c r="L90" s="14"/>
      <c r="M90" s="17"/>
    </row>
    <row r="91" spans="1:64" x14ac:dyDescent="0.25">
      <c r="A91" s="17"/>
      <c r="C91" s="148" t="s">
        <v>536</v>
      </c>
      <c r="D91" s="149"/>
      <c r="E91" s="149"/>
      <c r="F91" s="149"/>
      <c r="G91" s="149"/>
      <c r="H91" s="84"/>
      <c r="I91" s="77">
        <v>1.5209999999999999</v>
      </c>
      <c r="J91" s="84"/>
      <c r="K91" s="84"/>
      <c r="L91" s="14"/>
      <c r="M91" s="17"/>
    </row>
    <row r="92" spans="1:64" x14ac:dyDescent="0.25">
      <c r="A92" s="34" t="s">
        <v>105</v>
      </c>
      <c r="B92" s="41" t="s">
        <v>286</v>
      </c>
      <c r="C92" s="146" t="s">
        <v>537</v>
      </c>
      <c r="D92" s="147"/>
      <c r="E92" s="147"/>
      <c r="F92" s="147"/>
      <c r="G92" s="147"/>
      <c r="H92" s="83" t="s">
        <v>891</v>
      </c>
      <c r="I92" s="76">
        <f>'Stavební rozpočet'!I92</f>
        <v>16.158000000000001</v>
      </c>
      <c r="J92" s="60"/>
      <c r="K92" s="60">
        <f>I92*J92</f>
        <v>0</v>
      </c>
      <c r="L92" s="53" t="s">
        <v>906</v>
      </c>
      <c r="M92" s="17"/>
      <c r="Z92" s="28">
        <f>IF(AQ92="5",BJ92,0)</f>
        <v>0</v>
      </c>
      <c r="AB92" s="28">
        <f>IF(AQ92="1",BH92,0)</f>
        <v>0</v>
      </c>
      <c r="AC92" s="28">
        <f>IF(AQ92="1",BI92,0)</f>
        <v>0</v>
      </c>
      <c r="AD92" s="28">
        <f>IF(AQ92="7",BH92,0)</f>
        <v>0</v>
      </c>
      <c r="AE92" s="28">
        <f>IF(AQ92="7",BI92,0)</f>
        <v>0</v>
      </c>
      <c r="AF92" s="28">
        <f>IF(AQ92="2",BH92,0)</f>
        <v>0</v>
      </c>
      <c r="AG92" s="28">
        <f>IF(AQ92="2",BI92,0)</f>
        <v>0</v>
      </c>
      <c r="AH92" s="28">
        <f>IF(AQ92="0",BJ92,0)</f>
        <v>0</v>
      </c>
      <c r="AI92" s="56" t="s">
        <v>72</v>
      </c>
      <c r="AJ92" s="60">
        <f>IF(AN92=0,K92,0)</f>
        <v>0</v>
      </c>
      <c r="AK92" s="60">
        <f>IF(AN92=15,K92,0)</f>
        <v>0</v>
      </c>
      <c r="AL92" s="60">
        <f>IF(AN92=21,K92,0)</f>
        <v>0</v>
      </c>
      <c r="AN92" s="28">
        <v>21</v>
      </c>
      <c r="AO92" s="28">
        <f>J92*0.668159185497471</f>
        <v>0</v>
      </c>
      <c r="AP92" s="28">
        <f>J92*(1-0.668159185497471)</f>
        <v>0</v>
      </c>
      <c r="AQ92" s="57" t="s">
        <v>82</v>
      </c>
      <c r="AV92" s="28">
        <f>AW92+AX92</f>
        <v>0</v>
      </c>
      <c r="AW92" s="28">
        <f>I92*AO92</f>
        <v>0</v>
      </c>
      <c r="AX92" s="28">
        <f>I92*AP92</f>
        <v>0</v>
      </c>
      <c r="AY92" s="59" t="s">
        <v>922</v>
      </c>
      <c r="AZ92" s="59" t="s">
        <v>955</v>
      </c>
      <c r="BA92" s="56" t="s">
        <v>966</v>
      </c>
      <c r="BC92" s="28">
        <f>AW92+AX92</f>
        <v>0</v>
      </c>
      <c r="BD92" s="28">
        <f>J92/(100-BE92)*100</f>
        <v>0</v>
      </c>
      <c r="BE92" s="28">
        <v>0</v>
      </c>
      <c r="BF92" s="28">
        <f>92</f>
        <v>92</v>
      </c>
      <c r="BH92" s="60">
        <f>I92*AO92</f>
        <v>0</v>
      </c>
      <c r="BI92" s="60">
        <f>I92*AP92</f>
        <v>0</v>
      </c>
      <c r="BJ92" s="60">
        <f>I92*J92</f>
        <v>0</v>
      </c>
      <c r="BK92" s="60" t="s">
        <v>971</v>
      </c>
      <c r="BL92" s="28">
        <v>34</v>
      </c>
    </row>
    <row r="93" spans="1:64" x14ac:dyDescent="0.25">
      <c r="A93" s="17"/>
      <c r="B93" s="42" t="s">
        <v>265</v>
      </c>
      <c r="C93" s="150" t="s">
        <v>538</v>
      </c>
      <c r="D93" s="151"/>
      <c r="E93" s="151"/>
      <c r="F93" s="151"/>
      <c r="G93" s="151"/>
      <c r="H93" s="151"/>
      <c r="I93" s="151"/>
      <c r="J93" s="151"/>
      <c r="K93" s="151"/>
      <c r="L93" s="152"/>
      <c r="M93" s="17"/>
    </row>
    <row r="94" spans="1:64" x14ac:dyDescent="0.25">
      <c r="A94" s="17"/>
      <c r="C94" s="148" t="s">
        <v>539</v>
      </c>
      <c r="D94" s="149"/>
      <c r="E94" s="149"/>
      <c r="F94" s="149"/>
      <c r="G94" s="149"/>
      <c r="H94" s="84"/>
      <c r="I94" s="77">
        <v>13.91</v>
      </c>
      <c r="J94" s="84"/>
      <c r="K94" s="84"/>
      <c r="L94" s="14"/>
      <c r="M94" s="17"/>
    </row>
    <row r="95" spans="1:64" x14ac:dyDescent="0.25">
      <c r="A95" s="17"/>
      <c r="C95" s="148" t="s">
        <v>540</v>
      </c>
      <c r="D95" s="149"/>
      <c r="E95" s="149"/>
      <c r="F95" s="149"/>
      <c r="G95" s="149"/>
      <c r="H95" s="84"/>
      <c r="I95" s="77">
        <v>2.2480000000000002</v>
      </c>
      <c r="J95" s="84"/>
      <c r="K95" s="84"/>
      <c r="L95" s="14"/>
      <c r="M95" s="17"/>
    </row>
    <row r="96" spans="1:64" x14ac:dyDescent="0.25">
      <c r="A96" s="34" t="s">
        <v>106</v>
      </c>
      <c r="B96" s="41" t="s">
        <v>287</v>
      </c>
      <c r="C96" s="146" t="s">
        <v>541</v>
      </c>
      <c r="D96" s="147"/>
      <c r="E96" s="147"/>
      <c r="F96" s="147"/>
      <c r="G96" s="147"/>
      <c r="H96" s="83" t="s">
        <v>891</v>
      </c>
      <c r="I96" s="76">
        <f>'Stavební rozpočet'!I96</f>
        <v>114.24299999999999</v>
      </c>
      <c r="J96" s="60"/>
      <c r="K96" s="60">
        <f>I96*J96</f>
        <v>0</v>
      </c>
      <c r="L96" s="53" t="s">
        <v>906</v>
      </c>
      <c r="M96" s="17"/>
      <c r="Z96" s="28">
        <f>IF(AQ96="5",BJ96,0)</f>
        <v>0</v>
      </c>
      <c r="AB96" s="28">
        <f>IF(AQ96="1",BH96,0)</f>
        <v>0</v>
      </c>
      <c r="AC96" s="28">
        <f>IF(AQ96="1",BI96,0)</f>
        <v>0</v>
      </c>
      <c r="AD96" s="28">
        <f>IF(AQ96="7",BH96,0)</f>
        <v>0</v>
      </c>
      <c r="AE96" s="28">
        <f>IF(AQ96="7",BI96,0)</f>
        <v>0</v>
      </c>
      <c r="AF96" s="28">
        <f>IF(AQ96="2",BH96,0)</f>
        <v>0</v>
      </c>
      <c r="AG96" s="28">
        <f>IF(AQ96="2",BI96,0)</f>
        <v>0</v>
      </c>
      <c r="AH96" s="28">
        <f>IF(AQ96="0",BJ96,0)</f>
        <v>0</v>
      </c>
      <c r="AI96" s="56" t="s">
        <v>72</v>
      </c>
      <c r="AJ96" s="60">
        <f>IF(AN96=0,K96,0)</f>
        <v>0</v>
      </c>
      <c r="AK96" s="60">
        <f>IF(AN96=15,K96,0)</f>
        <v>0</v>
      </c>
      <c r="AL96" s="60">
        <f>IF(AN96=21,K96,0)</f>
        <v>0</v>
      </c>
      <c r="AN96" s="28">
        <v>21</v>
      </c>
      <c r="AO96" s="28">
        <f>J96*0.441014969107268</f>
        <v>0</v>
      </c>
      <c r="AP96" s="28">
        <f>J96*(1-0.441014969107268)</f>
        <v>0</v>
      </c>
      <c r="AQ96" s="57" t="s">
        <v>82</v>
      </c>
      <c r="AV96" s="28">
        <f>AW96+AX96</f>
        <v>0</v>
      </c>
      <c r="AW96" s="28">
        <f>I96*AO96</f>
        <v>0</v>
      </c>
      <c r="AX96" s="28">
        <f>I96*AP96</f>
        <v>0</v>
      </c>
      <c r="AY96" s="59" t="s">
        <v>922</v>
      </c>
      <c r="AZ96" s="59" t="s">
        <v>955</v>
      </c>
      <c r="BA96" s="56" t="s">
        <v>966</v>
      </c>
      <c r="BC96" s="28">
        <f>AW96+AX96</f>
        <v>0</v>
      </c>
      <c r="BD96" s="28">
        <f>J96/(100-BE96)*100</f>
        <v>0</v>
      </c>
      <c r="BE96" s="28">
        <v>0</v>
      </c>
      <c r="BF96" s="28">
        <f>96</f>
        <v>96</v>
      </c>
      <c r="BH96" s="60">
        <f>I96*AO96</f>
        <v>0</v>
      </c>
      <c r="BI96" s="60">
        <f>I96*AP96</f>
        <v>0</v>
      </c>
      <c r="BJ96" s="60">
        <f>I96*J96</f>
        <v>0</v>
      </c>
      <c r="BK96" s="60" t="s">
        <v>971</v>
      </c>
      <c r="BL96" s="28">
        <v>34</v>
      </c>
    </row>
    <row r="97" spans="1:64" x14ac:dyDescent="0.25">
      <c r="A97" s="17"/>
      <c r="B97" s="42" t="s">
        <v>265</v>
      </c>
      <c r="C97" s="150" t="s">
        <v>542</v>
      </c>
      <c r="D97" s="151"/>
      <c r="E97" s="151"/>
      <c r="F97" s="151"/>
      <c r="G97" s="151"/>
      <c r="H97" s="151"/>
      <c r="I97" s="151"/>
      <c r="J97" s="151"/>
      <c r="K97" s="151"/>
      <c r="L97" s="152"/>
      <c r="M97" s="17"/>
    </row>
    <row r="98" spans="1:64" x14ac:dyDescent="0.25">
      <c r="A98" s="17"/>
      <c r="C98" s="148" t="s">
        <v>543</v>
      </c>
      <c r="D98" s="149"/>
      <c r="E98" s="149"/>
      <c r="F98" s="149"/>
      <c r="G98" s="149"/>
      <c r="H98" s="84"/>
      <c r="I98" s="77">
        <v>0</v>
      </c>
      <c r="J98" s="84"/>
      <c r="K98" s="84"/>
      <c r="L98" s="14"/>
      <c r="M98" s="17"/>
    </row>
    <row r="99" spans="1:64" x14ac:dyDescent="0.25">
      <c r="A99" s="17"/>
      <c r="C99" s="148" t="s">
        <v>544</v>
      </c>
      <c r="D99" s="149"/>
      <c r="E99" s="149"/>
      <c r="F99" s="149"/>
      <c r="G99" s="149"/>
      <c r="H99" s="84"/>
      <c r="I99" s="77">
        <v>38.573</v>
      </c>
      <c r="J99" s="84"/>
      <c r="K99" s="84"/>
      <c r="L99" s="14"/>
      <c r="M99" s="17"/>
    </row>
    <row r="100" spans="1:64" x14ac:dyDescent="0.25">
      <c r="A100" s="17"/>
      <c r="C100" s="148" t="s">
        <v>545</v>
      </c>
      <c r="D100" s="149"/>
      <c r="E100" s="149"/>
      <c r="F100" s="149"/>
      <c r="G100" s="149"/>
      <c r="H100" s="84"/>
      <c r="I100" s="77">
        <v>75.67</v>
      </c>
      <c r="J100" s="84"/>
      <c r="K100" s="84"/>
      <c r="L100" s="14"/>
      <c r="M100" s="17"/>
    </row>
    <row r="101" spans="1:64" x14ac:dyDescent="0.25">
      <c r="A101" s="34" t="s">
        <v>107</v>
      </c>
      <c r="B101" s="41" t="s">
        <v>288</v>
      </c>
      <c r="C101" s="146" t="s">
        <v>541</v>
      </c>
      <c r="D101" s="147"/>
      <c r="E101" s="147"/>
      <c r="F101" s="147"/>
      <c r="G101" s="147"/>
      <c r="H101" s="83" t="s">
        <v>891</v>
      </c>
      <c r="I101" s="76">
        <f>'Stavební rozpočet'!I101</f>
        <v>106.4</v>
      </c>
      <c r="J101" s="60"/>
      <c r="K101" s="60">
        <f>I101*J101</f>
        <v>0</v>
      </c>
      <c r="L101" s="53" t="s">
        <v>906</v>
      </c>
      <c r="M101" s="17"/>
      <c r="Z101" s="28">
        <f>IF(AQ101="5",BJ101,0)</f>
        <v>0</v>
      </c>
      <c r="AB101" s="28">
        <f>IF(AQ101="1",BH101,0)</f>
        <v>0</v>
      </c>
      <c r="AC101" s="28">
        <f>IF(AQ101="1",BI101,0)</f>
        <v>0</v>
      </c>
      <c r="AD101" s="28">
        <f>IF(AQ101="7",BH101,0)</f>
        <v>0</v>
      </c>
      <c r="AE101" s="28">
        <f>IF(AQ101="7",BI101,0)</f>
        <v>0</v>
      </c>
      <c r="AF101" s="28">
        <f>IF(AQ101="2",BH101,0)</f>
        <v>0</v>
      </c>
      <c r="AG101" s="28">
        <f>IF(AQ101="2",BI101,0)</f>
        <v>0</v>
      </c>
      <c r="AH101" s="28">
        <f>IF(AQ101="0",BJ101,0)</f>
        <v>0</v>
      </c>
      <c r="AI101" s="56" t="s">
        <v>72</v>
      </c>
      <c r="AJ101" s="60">
        <f>IF(AN101=0,K101,0)</f>
        <v>0</v>
      </c>
      <c r="AK101" s="60">
        <f>IF(AN101=15,K101,0)</f>
        <v>0</v>
      </c>
      <c r="AL101" s="60">
        <f>IF(AN101=21,K101,0)</f>
        <v>0</v>
      </c>
      <c r="AN101" s="28">
        <v>21</v>
      </c>
      <c r="AO101" s="28">
        <f>J101*0.401717935166601</f>
        <v>0</v>
      </c>
      <c r="AP101" s="28">
        <f>J101*(1-0.401717935166601)</f>
        <v>0</v>
      </c>
      <c r="AQ101" s="57" t="s">
        <v>82</v>
      </c>
      <c r="AV101" s="28">
        <f>AW101+AX101</f>
        <v>0</v>
      </c>
      <c r="AW101" s="28">
        <f>I101*AO101</f>
        <v>0</v>
      </c>
      <c r="AX101" s="28">
        <f>I101*AP101</f>
        <v>0</v>
      </c>
      <c r="AY101" s="59" t="s">
        <v>922</v>
      </c>
      <c r="AZ101" s="59" t="s">
        <v>955</v>
      </c>
      <c r="BA101" s="56" t="s">
        <v>966</v>
      </c>
      <c r="BC101" s="28">
        <f>AW101+AX101</f>
        <v>0</v>
      </c>
      <c r="BD101" s="28">
        <f>J101/(100-BE101)*100</f>
        <v>0</v>
      </c>
      <c r="BE101" s="28">
        <v>0</v>
      </c>
      <c r="BF101" s="28">
        <f>101</f>
        <v>101</v>
      </c>
      <c r="BH101" s="60">
        <f>I101*AO101</f>
        <v>0</v>
      </c>
      <c r="BI101" s="60">
        <f>I101*AP101</f>
        <v>0</v>
      </c>
      <c r="BJ101" s="60">
        <f>I101*J101</f>
        <v>0</v>
      </c>
      <c r="BK101" s="60" t="s">
        <v>971</v>
      </c>
      <c r="BL101" s="28">
        <v>34</v>
      </c>
    </row>
    <row r="102" spans="1:64" x14ac:dyDescent="0.25">
      <c r="A102" s="17"/>
      <c r="B102" s="42" t="s">
        <v>265</v>
      </c>
      <c r="C102" s="150" t="s">
        <v>546</v>
      </c>
      <c r="D102" s="151"/>
      <c r="E102" s="151"/>
      <c r="F102" s="151"/>
      <c r="G102" s="151"/>
      <c r="H102" s="151"/>
      <c r="I102" s="151"/>
      <c r="J102" s="151"/>
      <c r="K102" s="151"/>
      <c r="L102" s="152"/>
      <c r="M102" s="17"/>
    </row>
    <row r="103" spans="1:64" x14ac:dyDescent="0.25">
      <c r="A103" s="17"/>
      <c r="C103" s="148" t="s">
        <v>543</v>
      </c>
      <c r="D103" s="149"/>
      <c r="E103" s="149"/>
      <c r="F103" s="149"/>
      <c r="G103" s="149"/>
      <c r="I103" s="77">
        <v>0</v>
      </c>
      <c r="L103" s="14"/>
      <c r="M103" s="17"/>
    </row>
    <row r="104" spans="1:64" x14ac:dyDescent="0.25">
      <c r="A104" s="17"/>
      <c r="C104" s="148" t="s">
        <v>547</v>
      </c>
      <c r="D104" s="149"/>
      <c r="E104" s="149"/>
      <c r="F104" s="149"/>
      <c r="G104" s="149"/>
      <c r="I104" s="77">
        <v>61.32</v>
      </c>
      <c r="L104" s="14"/>
      <c r="M104" s="17"/>
    </row>
    <row r="105" spans="1:64" x14ac:dyDescent="0.25">
      <c r="A105" s="17"/>
      <c r="C105" s="148" t="s">
        <v>548</v>
      </c>
      <c r="D105" s="149"/>
      <c r="E105" s="149"/>
      <c r="F105" s="149"/>
      <c r="G105" s="149"/>
      <c r="I105" s="77">
        <v>45.08</v>
      </c>
      <c r="L105" s="14"/>
      <c r="M105" s="17"/>
    </row>
    <row r="106" spans="1:64" x14ac:dyDescent="0.25">
      <c r="A106" s="33"/>
      <c r="B106" s="40" t="s">
        <v>122</v>
      </c>
      <c r="C106" s="144" t="s">
        <v>549</v>
      </c>
      <c r="D106" s="145"/>
      <c r="E106" s="145"/>
      <c r="F106" s="145"/>
      <c r="G106" s="145"/>
      <c r="H106" s="46" t="s">
        <v>58</v>
      </c>
      <c r="I106" s="46" t="s">
        <v>58</v>
      </c>
      <c r="J106" s="46" t="s">
        <v>58</v>
      </c>
      <c r="K106" s="65">
        <f>SUM(K107:K119)</f>
        <v>0</v>
      </c>
      <c r="L106" s="52"/>
      <c r="M106" s="17"/>
      <c r="AI106" s="56" t="s">
        <v>72</v>
      </c>
      <c r="AS106" s="65">
        <f>SUM(AJ107:AJ119)</f>
        <v>0</v>
      </c>
      <c r="AT106" s="65">
        <f>SUM(AK107:AK119)</f>
        <v>0</v>
      </c>
      <c r="AU106" s="65">
        <f>SUM(AL107:AL119)</f>
        <v>0</v>
      </c>
    </row>
    <row r="107" spans="1:64" x14ac:dyDescent="0.25">
      <c r="A107" s="34" t="s">
        <v>108</v>
      </c>
      <c r="B107" s="41" t="s">
        <v>289</v>
      </c>
      <c r="C107" s="146" t="s">
        <v>550</v>
      </c>
      <c r="D107" s="147"/>
      <c r="E107" s="147"/>
      <c r="F107" s="147"/>
      <c r="G107" s="147"/>
      <c r="H107" s="41" t="s">
        <v>891</v>
      </c>
      <c r="I107" s="76">
        <f>'Stavební rozpočet'!I107</f>
        <v>4.18</v>
      </c>
      <c r="J107" s="60"/>
      <c r="K107" s="60">
        <f>I107*J107</f>
        <v>0</v>
      </c>
      <c r="L107" s="53" t="s">
        <v>906</v>
      </c>
      <c r="M107" s="17"/>
      <c r="Z107" s="28">
        <f>IF(AQ107="5",BJ107,0)</f>
        <v>0</v>
      </c>
      <c r="AB107" s="28">
        <f>IF(AQ107="1",BH107,0)</f>
        <v>0</v>
      </c>
      <c r="AC107" s="28">
        <f>IF(AQ107="1",BI107,0)</f>
        <v>0</v>
      </c>
      <c r="AD107" s="28">
        <f>IF(AQ107="7",BH107,0)</f>
        <v>0</v>
      </c>
      <c r="AE107" s="28">
        <f>IF(AQ107="7",BI107,0)</f>
        <v>0</v>
      </c>
      <c r="AF107" s="28">
        <f>IF(AQ107="2",BH107,0)</f>
        <v>0</v>
      </c>
      <c r="AG107" s="28">
        <f>IF(AQ107="2",BI107,0)</f>
        <v>0</v>
      </c>
      <c r="AH107" s="28">
        <f>IF(AQ107="0",BJ107,0)</f>
        <v>0</v>
      </c>
      <c r="AI107" s="56" t="s">
        <v>72</v>
      </c>
      <c r="AJ107" s="60">
        <f>IF(AN107=0,K107,0)</f>
        <v>0</v>
      </c>
      <c r="AK107" s="60">
        <f>IF(AN107=15,K107,0)</f>
        <v>0</v>
      </c>
      <c r="AL107" s="60">
        <f>IF(AN107=21,K107,0)</f>
        <v>0</v>
      </c>
      <c r="AN107" s="28">
        <v>21</v>
      </c>
      <c r="AO107" s="28">
        <f>J107*0.0211291052481272</f>
        <v>0</v>
      </c>
      <c r="AP107" s="28">
        <f>J107*(1-0.0211291052481272)</f>
        <v>0</v>
      </c>
      <c r="AQ107" s="57" t="s">
        <v>82</v>
      </c>
      <c r="AV107" s="28">
        <f>AW107+AX107</f>
        <v>0</v>
      </c>
      <c r="AW107" s="28">
        <f>I107*AO107</f>
        <v>0</v>
      </c>
      <c r="AX107" s="28">
        <f>I107*AP107</f>
        <v>0</v>
      </c>
      <c r="AY107" s="59" t="s">
        <v>923</v>
      </c>
      <c r="AZ107" s="59" t="s">
        <v>956</v>
      </c>
      <c r="BA107" s="56" t="s">
        <v>966</v>
      </c>
      <c r="BC107" s="28">
        <f>AW107+AX107</f>
        <v>0</v>
      </c>
      <c r="BD107" s="28">
        <f>J107/(100-BE107)*100</f>
        <v>0</v>
      </c>
      <c r="BE107" s="28">
        <v>0</v>
      </c>
      <c r="BF107" s="28">
        <f>107</f>
        <v>107</v>
      </c>
      <c r="BH107" s="60">
        <f>I107*AO107</f>
        <v>0</v>
      </c>
      <c r="BI107" s="60">
        <f>I107*AP107</f>
        <v>0</v>
      </c>
      <c r="BJ107" s="60">
        <f>I107*J107</f>
        <v>0</v>
      </c>
      <c r="BK107" s="60" t="s">
        <v>971</v>
      </c>
      <c r="BL107" s="28">
        <v>41</v>
      </c>
    </row>
    <row r="108" spans="1:64" x14ac:dyDescent="0.25">
      <c r="A108" s="17"/>
      <c r="B108" s="42" t="s">
        <v>265</v>
      </c>
      <c r="C108" s="150" t="s">
        <v>551</v>
      </c>
      <c r="D108" s="151"/>
      <c r="E108" s="151"/>
      <c r="F108" s="151"/>
      <c r="G108" s="151"/>
      <c r="H108" s="151"/>
      <c r="I108" s="151"/>
      <c r="J108" s="151"/>
      <c r="K108" s="151"/>
      <c r="L108" s="152"/>
      <c r="M108" s="17"/>
    </row>
    <row r="109" spans="1:64" x14ac:dyDescent="0.25">
      <c r="A109" s="17"/>
      <c r="C109" s="148" t="s">
        <v>552</v>
      </c>
      <c r="D109" s="149"/>
      <c r="E109" s="149"/>
      <c r="F109" s="149"/>
      <c r="G109" s="149"/>
      <c r="I109" s="77">
        <v>4.18</v>
      </c>
      <c r="L109" s="14"/>
      <c r="M109" s="17"/>
    </row>
    <row r="110" spans="1:64" x14ac:dyDescent="0.25">
      <c r="A110" s="34" t="s">
        <v>109</v>
      </c>
      <c r="B110" s="41" t="s">
        <v>290</v>
      </c>
      <c r="C110" s="146" t="s">
        <v>553</v>
      </c>
      <c r="D110" s="147"/>
      <c r="E110" s="147"/>
      <c r="F110" s="147"/>
      <c r="G110" s="147"/>
      <c r="H110" s="41" t="s">
        <v>893</v>
      </c>
      <c r="I110" s="76">
        <f>'Stavební rozpočet'!I110</f>
        <v>0.24299999999999999</v>
      </c>
      <c r="J110" s="60"/>
      <c r="K110" s="60">
        <f>I110*J110</f>
        <v>0</v>
      </c>
      <c r="L110" s="53" t="s">
        <v>906</v>
      </c>
      <c r="M110" s="17"/>
      <c r="Z110" s="28">
        <f>IF(AQ110="5",BJ110,0)</f>
        <v>0</v>
      </c>
      <c r="AB110" s="28">
        <f>IF(AQ110="1",BH110,0)</f>
        <v>0</v>
      </c>
      <c r="AC110" s="28">
        <f>IF(AQ110="1",BI110,0)</f>
        <v>0</v>
      </c>
      <c r="AD110" s="28">
        <f>IF(AQ110="7",BH110,0)</f>
        <v>0</v>
      </c>
      <c r="AE110" s="28">
        <f>IF(AQ110="7",BI110,0)</f>
        <v>0</v>
      </c>
      <c r="AF110" s="28">
        <f>IF(AQ110="2",BH110,0)</f>
        <v>0</v>
      </c>
      <c r="AG110" s="28">
        <f>IF(AQ110="2",BI110,0)</f>
        <v>0</v>
      </c>
      <c r="AH110" s="28">
        <f>IF(AQ110="0",BJ110,0)</f>
        <v>0</v>
      </c>
      <c r="AI110" s="56" t="s">
        <v>72</v>
      </c>
      <c r="AJ110" s="60">
        <f>IF(AN110=0,K110,0)</f>
        <v>0</v>
      </c>
      <c r="AK110" s="60">
        <f>IF(AN110=15,K110,0)</f>
        <v>0</v>
      </c>
      <c r="AL110" s="60">
        <f>IF(AN110=21,K110,0)</f>
        <v>0</v>
      </c>
      <c r="AN110" s="28">
        <v>21</v>
      </c>
      <c r="AO110" s="28">
        <f>J110*0.729567374612725</f>
        <v>0</v>
      </c>
      <c r="AP110" s="28">
        <f>J110*(1-0.729567374612725)</f>
        <v>0</v>
      </c>
      <c r="AQ110" s="57" t="s">
        <v>82</v>
      </c>
      <c r="AV110" s="28">
        <f>AW110+AX110</f>
        <v>0</v>
      </c>
      <c r="AW110" s="28">
        <f>I110*AO110</f>
        <v>0</v>
      </c>
      <c r="AX110" s="28">
        <f>I110*AP110</f>
        <v>0</v>
      </c>
      <c r="AY110" s="59" t="s">
        <v>923</v>
      </c>
      <c r="AZ110" s="59" t="s">
        <v>956</v>
      </c>
      <c r="BA110" s="56" t="s">
        <v>966</v>
      </c>
      <c r="BC110" s="28">
        <f>AW110+AX110</f>
        <v>0</v>
      </c>
      <c r="BD110" s="28">
        <f>J110/(100-BE110)*100</f>
        <v>0</v>
      </c>
      <c r="BE110" s="28">
        <v>0</v>
      </c>
      <c r="BF110" s="28">
        <f>110</f>
        <v>110</v>
      </c>
      <c r="BH110" s="60">
        <f>I110*AO110</f>
        <v>0</v>
      </c>
      <c r="BI110" s="60">
        <f>I110*AP110</f>
        <v>0</v>
      </c>
      <c r="BJ110" s="60">
        <f>I110*J110</f>
        <v>0</v>
      </c>
      <c r="BK110" s="60" t="s">
        <v>971</v>
      </c>
      <c r="BL110" s="28">
        <v>41</v>
      </c>
    </row>
    <row r="111" spans="1:64" x14ac:dyDescent="0.25">
      <c r="A111" s="17"/>
      <c r="B111" s="42" t="s">
        <v>265</v>
      </c>
      <c r="C111" s="150" t="s">
        <v>554</v>
      </c>
      <c r="D111" s="151"/>
      <c r="E111" s="151"/>
      <c r="F111" s="151"/>
      <c r="G111" s="151"/>
      <c r="H111" s="151"/>
      <c r="I111" s="151"/>
      <c r="J111" s="151"/>
      <c r="K111" s="151"/>
      <c r="L111" s="152"/>
      <c r="M111" s="17"/>
    </row>
    <row r="112" spans="1:64" x14ac:dyDescent="0.25">
      <c r="A112" s="17"/>
      <c r="C112" s="148" t="s">
        <v>555</v>
      </c>
      <c r="D112" s="149"/>
      <c r="E112" s="149"/>
      <c r="F112" s="149"/>
      <c r="G112" s="149"/>
      <c r="I112" s="77">
        <v>0.24299999999999999</v>
      </c>
      <c r="L112" s="14"/>
      <c r="M112" s="17"/>
    </row>
    <row r="113" spans="1:64" x14ac:dyDescent="0.25">
      <c r="A113" s="34" t="s">
        <v>110</v>
      </c>
      <c r="B113" s="41" t="s">
        <v>291</v>
      </c>
      <c r="C113" s="146" t="s">
        <v>556</v>
      </c>
      <c r="D113" s="147"/>
      <c r="E113" s="147"/>
      <c r="F113" s="147"/>
      <c r="G113" s="147"/>
      <c r="H113" s="41" t="s">
        <v>895</v>
      </c>
      <c r="I113" s="76">
        <f>'Stavební rozpočet'!I113</f>
        <v>10.8</v>
      </c>
      <c r="J113" s="60"/>
      <c r="K113" s="60">
        <f>I113*J113</f>
        <v>0</v>
      </c>
      <c r="L113" s="53" t="s">
        <v>906</v>
      </c>
      <c r="M113" s="17"/>
      <c r="Z113" s="28">
        <f>IF(AQ113="5",BJ113,0)</f>
        <v>0</v>
      </c>
      <c r="AB113" s="28">
        <f>IF(AQ113="1",BH113,0)</f>
        <v>0</v>
      </c>
      <c r="AC113" s="28">
        <f>IF(AQ113="1",BI113,0)</f>
        <v>0</v>
      </c>
      <c r="AD113" s="28">
        <f>IF(AQ113="7",BH113,0)</f>
        <v>0</v>
      </c>
      <c r="AE113" s="28">
        <f>IF(AQ113="7",BI113,0)</f>
        <v>0</v>
      </c>
      <c r="AF113" s="28">
        <f>IF(AQ113="2",BH113,0)</f>
        <v>0</v>
      </c>
      <c r="AG113" s="28">
        <f>IF(AQ113="2",BI113,0)</f>
        <v>0</v>
      </c>
      <c r="AH113" s="28">
        <f>IF(AQ113="0",BJ113,0)</f>
        <v>0</v>
      </c>
      <c r="AI113" s="56" t="s">
        <v>72</v>
      </c>
      <c r="AJ113" s="60">
        <f>IF(AN113=0,K113,0)</f>
        <v>0</v>
      </c>
      <c r="AK113" s="60">
        <f>IF(AN113=15,K113,0)</f>
        <v>0</v>
      </c>
      <c r="AL113" s="60">
        <f>IF(AN113=21,K113,0)</f>
        <v>0</v>
      </c>
      <c r="AN113" s="28">
        <v>21</v>
      </c>
      <c r="AO113" s="28">
        <f>J113*0.40190692577587</f>
        <v>0</v>
      </c>
      <c r="AP113" s="28">
        <f>J113*(1-0.40190692577587)</f>
        <v>0</v>
      </c>
      <c r="AQ113" s="57" t="s">
        <v>82</v>
      </c>
      <c r="AV113" s="28">
        <f>AW113+AX113</f>
        <v>0</v>
      </c>
      <c r="AW113" s="28">
        <f>I113*AO113</f>
        <v>0</v>
      </c>
      <c r="AX113" s="28">
        <f>I113*AP113</f>
        <v>0</v>
      </c>
      <c r="AY113" s="59" t="s">
        <v>923</v>
      </c>
      <c r="AZ113" s="59" t="s">
        <v>956</v>
      </c>
      <c r="BA113" s="56" t="s">
        <v>966</v>
      </c>
      <c r="BC113" s="28">
        <f>AW113+AX113</f>
        <v>0</v>
      </c>
      <c r="BD113" s="28">
        <f>J113/(100-BE113)*100</f>
        <v>0</v>
      </c>
      <c r="BE113" s="28">
        <v>0</v>
      </c>
      <c r="BF113" s="28">
        <f>113</f>
        <v>113</v>
      </c>
      <c r="BH113" s="60">
        <f>I113*AO113</f>
        <v>0</v>
      </c>
      <c r="BI113" s="60">
        <f>I113*AP113</f>
        <v>0</v>
      </c>
      <c r="BJ113" s="60">
        <f>I113*J113</f>
        <v>0</v>
      </c>
      <c r="BK113" s="60" t="s">
        <v>971</v>
      </c>
      <c r="BL113" s="28">
        <v>41</v>
      </c>
    </row>
    <row r="114" spans="1:64" x14ac:dyDescent="0.25">
      <c r="A114" s="17"/>
      <c r="B114" s="42" t="s">
        <v>265</v>
      </c>
      <c r="C114" s="150" t="s">
        <v>557</v>
      </c>
      <c r="D114" s="151"/>
      <c r="E114" s="151"/>
      <c r="F114" s="151"/>
      <c r="G114" s="151"/>
      <c r="H114" s="151"/>
      <c r="I114" s="151"/>
      <c r="J114" s="151"/>
      <c r="K114" s="151"/>
      <c r="L114" s="152"/>
      <c r="M114" s="17"/>
    </row>
    <row r="115" spans="1:64" x14ac:dyDescent="0.25">
      <c r="A115" s="17"/>
      <c r="C115" s="148" t="s">
        <v>558</v>
      </c>
      <c r="D115" s="149"/>
      <c r="E115" s="149"/>
      <c r="F115" s="149"/>
      <c r="G115" s="149"/>
      <c r="I115" s="77">
        <v>10.8</v>
      </c>
      <c r="L115" s="14"/>
      <c r="M115" s="17"/>
    </row>
    <row r="116" spans="1:64" x14ac:dyDescent="0.25">
      <c r="A116" s="34" t="s">
        <v>111</v>
      </c>
      <c r="B116" s="41" t="s">
        <v>292</v>
      </c>
      <c r="C116" s="146" t="s">
        <v>559</v>
      </c>
      <c r="D116" s="147"/>
      <c r="E116" s="147"/>
      <c r="F116" s="147"/>
      <c r="G116" s="147"/>
      <c r="H116" s="41" t="s">
        <v>891</v>
      </c>
      <c r="I116" s="76">
        <f>'Stavební rozpočet'!I116</f>
        <v>3.24</v>
      </c>
      <c r="J116" s="60"/>
      <c r="K116" s="60">
        <f>I116*J116</f>
        <v>0</v>
      </c>
      <c r="L116" s="53" t="s">
        <v>906</v>
      </c>
      <c r="M116" s="17"/>
      <c r="Z116" s="28">
        <f>IF(AQ116="5",BJ116,0)</f>
        <v>0</v>
      </c>
      <c r="AB116" s="28">
        <f>IF(AQ116="1",BH116,0)</f>
        <v>0</v>
      </c>
      <c r="AC116" s="28">
        <f>IF(AQ116="1",BI116,0)</f>
        <v>0</v>
      </c>
      <c r="AD116" s="28">
        <f>IF(AQ116="7",BH116,0)</f>
        <v>0</v>
      </c>
      <c r="AE116" s="28">
        <f>IF(AQ116="7",BI116,0)</f>
        <v>0</v>
      </c>
      <c r="AF116" s="28">
        <f>IF(AQ116="2",BH116,0)</f>
        <v>0</v>
      </c>
      <c r="AG116" s="28">
        <f>IF(AQ116="2",BI116,0)</f>
        <v>0</v>
      </c>
      <c r="AH116" s="28">
        <f>IF(AQ116="0",BJ116,0)</f>
        <v>0</v>
      </c>
      <c r="AI116" s="56" t="s">
        <v>72</v>
      </c>
      <c r="AJ116" s="60">
        <f>IF(AN116=0,K116,0)</f>
        <v>0</v>
      </c>
      <c r="AK116" s="60">
        <f>IF(AN116=15,K116,0)</f>
        <v>0</v>
      </c>
      <c r="AL116" s="60">
        <f>IF(AN116=21,K116,0)</f>
        <v>0</v>
      </c>
      <c r="AN116" s="28">
        <v>21</v>
      </c>
      <c r="AO116" s="28">
        <f>J116*0.217818181818182</f>
        <v>0</v>
      </c>
      <c r="AP116" s="28">
        <f>J116*(1-0.217818181818182)</f>
        <v>0</v>
      </c>
      <c r="AQ116" s="57" t="s">
        <v>82</v>
      </c>
      <c r="AV116" s="28">
        <f>AW116+AX116</f>
        <v>0</v>
      </c>
      <c r="AW116" s="28">
        <f>I116*AO116</f>
        <v>0</v>
      </c>
      <c r="AX116" s="28">
        <f>I116*AP116</f>
        <v>0</v>
      </c>
      <c r="AY116" s="59" t="s">
        <v>923</v>
      </c>
      <c r="AZ116" s="59" t="s">
        <v>956</v>
      </c>
      <c r="BA116" s="56" t="s">
        <v>966</v>
      </c>
      <c r="BC116" s="28">
        <f>AW116+AX116</f>
        <v>0</v>
      </c>
      <c r="BD116" s="28">
        <f>J116/(100-BE116)*100</f>
        <v>0</v>
      </c>
      <c r="BE116" s="28">
        <v>0</v>
      </c>
      <c r="BF116" s="28">
        <f>116</f>
        <v>116</v>
      </c>
      <c r="BH116" s="60">
        <f>I116*AO116</f>
        <v>0</v>
      </c>
      <c r="BI116" s="60">
        <f>I116*AP116</f>
        <v>0</v>
      </c>
      <c r="BJ116" s="60">
        <f>I116*J116</f>
        <v>0</v>
      </c>
      <c r="BK116" s="60" t="s">
        <v>971</v>
      </c>
      <c r="BL116" s="28">
        <v>41</v>
      </c>
    </row>
    <row r="117" spans="1:64" x14ac:dyDescent="0.25">
      <c r="A117" s="17"/>
      <c r="C117" s="148" t="s">
        <v>560</v>
      </c>
      <c r="D117" s="149"/>
      <c r="E117" s="149"/>
      <c r="F117" s="149"/>
      <c r="G117" s="149"/>
      <c r="I117" s="77">
        <v>3.24</v>
      </c>
      <c r="L117" s="14"/>
      <c r="M117" s="17"/>
    </row>
    <row r="118" spans="1:64" x14ac:dyDescent="0.25">
      <c r="A118" s="34" t="s">
        <v>112</v>
      </c>
      <c r="B118" s="41" t="s">
        <v>293</v>
      </c>
      <c r="C118" s="146" t="s">
        <v>561</v>
      </c>
      <c r="D118" s="147"/>
      <c r="E118" s="147"/>
      <c r="F118" s="147"/>
      <c r="G118" s="147"/>
      <c r="H118" s="41" t="s">
        <v>891</v>
      </c>
      <c r="I118" s="76">
        <f>'Stavební rozpočet'!I118</f>
        <v>3.24</v>
      </c>
      <c r="J118" s="60"/>
      <c r="K118" s="60">
        <f>I118*J118</f>
        <v>0</v>
      </c>
      <c r="L118" s="53" t="s">
        <v>906</v>
      </c>
      <c r="M118" s="17"/>
      <c r="Z118" s="28">
        <f>IF(AQ118="5",BJ118,0)</f>
        <v>0</v>
      </c>
      <c r="AB118" s="28">
        <f>IF(AQ118="1",BH118,0)</f>
        <v>0</v>
      </c>
      <c r="AC118" s="28">
        <f>IF(AQ118="1",BI118,0)</f>
        <v>0</v>
      </c>
      <c r="AD118" s="28">
        <f>IF(AQ118="7",BH118,0)</f>
        <v>0</v>
      </c>
      <c r="AE118" s="28">
        <f>IF(AQ118="7",BI118,0)</f>
        <v>0</v>
      </c>
      <c r="AF118" s="28">
        <f>IF(AQ118="2",BH118,0)</f>
        <v>0</v>
      </c>
      <c r="AG118" s="28">
        <f>IF(AQ118="2",BI118,0)</f>
        <v>0</v>
      </c>
      <c r="AH118" s="28">
        <f>IF(AQ118="0",BJ118,0)</f>
        <v>0</v>
      </c>
      <c r="AI118" s="56" t="s">
        <v>72</v>
      </c>
      <c r="AJ118" s="60">
        <f>IF(AN118=0,K118,0)</f>
        <v>0</v>
      </c>
      <c r="AK118" s="60">
        <f>IF(AN118=15,K118,0)</f>
        <v>0</v>
      </c>
      <c r="AL118" s="60">
        <f>IF(AN118=21,K118,0)</f>
        <v>0</v>
      </c>
      <c r="AN118" s="28">
        <v>21</v>
      </c>
      <c r="AO118" s="28">
        <f>J118*0</f>
        <v>0</v>
      </c>
      <c r="AP118" s="28">
        <f>J118*(1-0)</f>
        <v>0</v>
      </c>
      <c r="AQ118" s="57" t="s">
        <v>82</v>
      </c>
      <c r="AV118" s="28">
        <f>AW118+AX118</f>
        <v>0</v>
      </c>
      <c r="AW118" s="28">
        <f>I118*AO118</f>
        <v>0</v>
      </c>
      <c r="AX118" s="28">
        <f>I118*AP118</f>
        <v>0</v>
      </c>
      <c r="AY118" s="59" t="s">
        <v>923</v>
      </c>
      <c r="AZ118" s="59" t="s">
        <v>956</v>
      </c>
      <c r="BA118" s="56" t="s">
        <v>966</v>
      </c>
      <c r="BC118" s="28">
        <f>AW118+AX118</f>
        <v>0</v>
      </c>
      <c r="BD118" s="28">
        <f>J118/(100-BE118)*100</f>
        <v>0</v>
      </c>
      <c r="BE118" s="28">
        <v>0</v>
      </c>
      <c r="BF118" s="28">
        <f>118</f>
        <v>118</v>
      </c>
      <c r="BH118" s="60">
        <f>I118*AO118</f>
        <v>0</v>
      </c>
      <c r="BI118" s="60">
        <f>I118*AP118</f>
        <v>0</v>
      </c>
      <c r="BJ118" s="60">
        <f>I118*J118</f>
        <v>0</v>
      </c>
      <c r="BK118" s="60" t="s">
        <v>971</v>
      </c>
      <c r="BL118" s="28">
        <v>41</v>
      </c>
    </row>
    <row r="119" spans="1:64" x14ac:dyDescent="0.25">
      <c r="A119" s="34" t="s">
        <v>113</v>
      </c>
      <c r="B119" s="41" t="s">
        <v>294</v>
      </c>
      <c r="C119" s="146" t="s">
        <v>562</v>
      </c>
      <c r="D119" s="147"/>
      <c r="E119" s="147"/>
      <c r="F119" s="147"/>
      <c r="G119" s="147"/>
      <c r="H119" s="41" t="s">
        <v>891</v>
      </c>
      <c r="I119" s="76">
        <f>'Stavební rozpočet'!I119</f>
        <v>11.5</v>
      </c>
      <c r="J119" s="60"/>
      <c r="K119" s="60">
        <f>I119*J119</f>
        <v>0</v>
      </c>
      <c r="L119" s="53" t="s">
        <v>906</v>
      </c>
      <c r="M119" s="17"/>
      <c r="Z119" s="28">
        <f>IF(AQ119="5",BJ119,0)</f>
        <v>0</v>
      </c>
      <c r="AB119" s="28">
        <f>IF(AQ119="1",BH119,0)</f>
        <v>0</v>
      </c>
      <c r="AC119" s="28">
        <f>IF(AQ119="1",BI119,0)</f>
        <v>0</v>
      </c>
      <c r="AD119" s="28">
        <f>IF(AQ119="7",BH119,0)</f>
        <v>0</v>
      </c>
      <c r="AE119" s="28">
        <f>IF(AQ119="7",BI119,0)</f>
        <v>0</v>
      </c>
      <c r="AF119" s="28">
        <f>IF(AQ119="2",BH119,0)</f>
        <v>0</v>
      </c>
      <c r="AG119" s="28">
        <f>IF(AQ119="2",BI119,0)</f>
        <v>0</v>
      </c>
      <c r="AH119" s="28">
        <f>IF(AQ119="0",BJ119,0)</f>
        <v>0</v>
      </c>
      <c r="AI119" s="56" t="s">
        <v>72</v>
      </c>
      <c r="AJ119" s="60">
        <f>IF(AN119=0,K119,0)</f>
        <v>0</v>
      </c>
      <c r="AK119" s="60">
        <f>IF(AN119=15,K119,0)</f>
        <v>0</v>
      </c>
      <c r="AL119" s="60">
        <f>IF(AN119=21,K119,0)</f>
        <v>0</v>
      </c>
      <c r="AN119" s="28">
        <v>21</v>
      </c>
      <c r="AO119" s="28">
        <f>J119*0.305116279069767</f>
        <v>0</v>
      </c>
      <c r="AP119" s="28">
        <f>J119*(1-0.305116279069767)</f>
        <v>0</v>
      </c>
      <c r="AQ119" s="57" t="s">
        <v>82</v>
      </c>
      <c r="AV119" s="28">
        <f>AW119+AX119</f>
        <v>0</v>
      </c>
      <c r="AW119" s="28">
        <f>I119*AO119</f>
        <v>0</v>
      </c>
      <c r="AX119" s="28">
        <f>I119*AP119</f>
        <v>0</v>
      </c>
      <c r="AY119" s="59" t="s">
        <v>923</v>
      </c>
      <c r="AZ119" s="59" t="s">
        <v>956</v>
      </c>
      <c r="BA119" s="56" t="s">
        <v>966</v>
      </c>
      <c r="BC119" s="28">
        <f>AW119+AX119</f>
        <v>0</v>
      </c>
      <c r="BD119" s="28">
        <f>J119/(100-BE119)*100</f>
        <v>0</v>
      </c>
      <c r="BE119" s="28">
        <v>0</v>
      </c>
      <c r="BF119" s="28">
        <f>119</f>
        <v>119</v>
      </c>
      <c r="BH119" s="60">
        <f>I119*AO119</f>
        <v>0</v>
      </c>
      <c r="BI119" s="60">
        <f>I119*AP119</f>
        <v>0</v>
      </c>
      <c r="BJ119" s="60">
        <f>I119*J119</f>
        <v>0</v>
      </c>
      <c r="BK119" s="60" t="s">
        <v>971</v>
      </c>
      <c r="BL119" s="28">
        <v>41</v>
      </c>
    </row>
    <row r="120" spans="1:64" x14ac:dyDescent="0.25">
      <c r="A120" s="17"/>
      <c r="C120" s="148" t="s">
        <v>563</v>
      </c>
      <c r="D120" s="149"/>
      <c r="E120" s="149"/>
      <c r="F120" s="149"/>
      <c r="G120" s="149"/>
      <c r="I120" s="77">
        <v>11.5</v>
      </c>
      <c r="L120" s="14"/>
      <c r="M120" s="17"/>
    </row>
    <row r="121" spans="1:64" x14ac:dyDescent="0.25">
      <c r="A121" s="33"/>
      <c r="B121" s="40" t="s">
        <v>141</v>
      </c>
      <c r="C121" s="144" t="s">
        <v>564</v>
      </c>
      <c r="D121" s="145"/>
      <c r="E121" s="145"/>
      <c r="F121" s="145"/>
      <c r="G121" s="145"/>
      <c r="H121" s="46" t="s">
        <v>58</v>
      </c>
      <c r="I121" s="46" t="s">
        <v>58</v>
      </c>
      <c r="J121" s="46" t="s">
        <v>58</v>
      </c>
      <c r="K121" s="65">
        <f>SUM(K122:K124)</f>
        <v>0</v>
      </c>
      <c r="L121" s="52"/>
      <c r="M121" s="17"/>
      <c r="AI121" s="56" t="s">
        <v>72</v>
      </c>
      <c r="AS121" s="65">
        <f>SUM(AJ122:AJ124)</f>
        <v>0</v>
      </c>
      <c r="AT121" s="65">
        <f>SUM(AK122:AK124)</f>
        <v>0</v>
      </c>
      <c r="AU121" s="65">
        <f>SUM(AL122:AL124)</f>
        <v>0</v>
      </c>
    </row>
    <row r="122" spans="1:64" x14ac:dyDescent="0.25">
      <c r="A122" s="34" t="s">
        <v>114</v>
      </c>
      <c r="B122" s="41" t="s">
        <v>295</v>
      </c>
      <c r="C122" s="146" t="s">
        <v>565</v>
      </c>
      <c r="D122" s="147"/>
      <c r="E122" s="147"/>
      <c r="F122" s="147"/>
      <c r="G122" s="147"/>
      <c r="H122" s="41" t="s">
        <v>891</v>
      </c>
      <c r="I122" s="76">
        <f>'Stavební rozpočet'!I122</f>
        <v>598.35199999999998</v>
      </c>
      <c r="J122" s="60"/>
      <c r="K122" s="60">
        <f>I122*J122</f>
        <v>0</v>
      </c>
      <c r="L122" s="53" t="s">
        <v>906</v>
      </c>
      <c r="M122" s="17"/>
      <c r="Z122" s="28">
        <f>IF(AQ122="5",BJ122,0)</f>
        <v>0</v>
      </c>
      <c r="AB122" s="28">
        <f>IF(AQ122="1",BH122,0)</f>
        <v>0</v>
      </c>
      <c r="AC122" s="28">
        <f>IF(AQ122="1",BI122,0)</f>
        <v>0</v>
      </c>
      <c r="AD122" s="28">
        <f>IF(AQ122="7",BH122,0)</f>
        <v>0</v>
      </c>
      <c r="AE122" s="28">
        <f>IF(AQ122="7",BI122,0)</f>
        <v>0</v>
      </c>
      <c r="AF122" s="28">
        <f>IF(AQ122="2",BH122,0)</f>
        <v>0</v>
      </c>
      <c r="AG122" s="28">
        <f>IF(AQ122="2",BI122,0)</f>
        <v>0</v>
      </c>
      <c r="AH122" s="28">
        <f>IF(AQ122="0",BJ122,0)</f>
        <v>0</v>
      </c>
      <c r="AI122" s="56" t="s">
        <v>72</v>
      </c>
      <c r="AJ122" s="60">
        <f>IF(AN122=0,K122,0)</f>
        <v>0</v>
      </c>
      <c r="AK122" s="60">
        <f>IF(AN122=15,K122,0)</f>
        <v>0</v>
      </c>
      <c r="AL122" s="60">
        <f>IF(AN122=21,K122,0)</f>
        <v>0</v>
      </c>
      <c r="AN122" s="28">
        <v>21</v>
      </c>
      <c r="AO122" s="28">
        <f>J122*0.416346310800363</f>
        <v>0</v>
      </c>
      <c r="AP122" s="28">
        <f>J122*(1-0.416346310800363)</f>
        <v>0</v>
      </c>
      <c r="AQ122" s="57" t="s">
        <v>82</v>
      </c>
      <c r="AV122" s="28">
        <f>AW122+AX122</f>
        <v>0</v>
      </c>
      <c r="AW122" s="28">
        <f>I122*AO122</f>
        <v>0</v>
      </c>
      <c r="AX122" s="28">
        <f>I122*AP122</f>
        <v>0</v>
      </c>
      <c r="AY122" s="59" t="s">
        <v>924</v>
      </c>
      <c r="AZ122" s="59" t="s">
        <v>957</v>
      </c>
      <c r="BA122" s="56" t="s">
        <v>966</v>
      </c>
      <c r="BC122" s="28">
        <f>AW122+AX122</f>
        <v>0</v>
      </c>
      <c r="BD122" s="28">
        <f>J122/(100-BE122)*100</f>
        <v>0</v>
      </c>
      <c r="BE122" s="28">
        <v>0</v>
      </c>
      <c r="BF122" s="28">
        <f>122</f>
        <v>122</v>
      </c>
      <c r="BH122" s="60">
        <f>I122*AO122</f>
        <v>0</v>
      </c>
      <c r="BI122" s="60">
        <f>I122*AP122</f>
        <v>0</v>
      </c>
      <c r="BJ122" s="60">
        <f>I122*J122</f>
        <v>0</v>
      </c>
      <c r="BK122" s="60" t="s">
        <v>971</v>
      </c>
      <c r="BL122" s="28">
        <v>60</v>
      </c>
    </row>
    <row r="123" spans="1:64" x14ac:dyDescent="0.25">
      <c r="A123" s="17"/>
      <c r="C123" s="148" t="s">
        <v>566</v>
      </c>
      <c r="D123" s="149"/>
      <c r="E123" s="149"/>
      <c r="F123" s="149"/>
      <c r="G123" s="149"/>
      <c r="I123" s="77">
        <v>598.35199999999998</v>
      </c>
      <c r="L123" s="14"/>
      <c r="M123" s="17"/>
    </row>
    <row r="124" spans="1:64" x14ac:dyDescent="0.25">
      <c r="A124" s="34" t="s">
        <v>115</v>
      </c>
      <c r="B124" s="41" t="s">
        <v>296</v>
      </c>
      <c r="C124" s="146" t="s">
        <v>567</v>
      </c>
      <c r="D124" s="147"/>
      <c r="E124" s="147"/>
      <c r="F124" s="147"/>
      <c r="G124" s="147"/>
      <c r="H124" s="41" t="s">
        <v>891</v>
      </c>
      <c r="I124" s="76">
        <f>'Stavební rozpočet'!I124</f>
        <v>152.88800000000001</v>
      </c>
      <c r="J124" s="60"/>
      <c r="K124" s="60">
        <f>I124*J124</f>
        <v>0</v>
      </c>
      <c r="L124" s="53" t="s">
        <v>906</v>
      </c>
      <c r="M124" s="17"/>
      <c r="Z124" s="28">
        <f>IF(AQ124="5",BJ124,0)</f>
        <v>0</v>
      </c>
      <c r="AB124" s="28">
        <f>IF(AQ124="1",BH124,0)</f>
        <v>0</v>
      </c>
      <c r="AC124" s="28">
        <f>IF(AQ124="1",BI124,0)</f>
        <v>0</v>
      </c>
      <c r="AD124" s="28">
        <f>IF(AQ124="7",BH124,0)</f>
        <v>0</v>
      </c>
      <c r="AE124" s="28">
        <f>IF(AQ124="7",BI124,0)</f>
        <v>0</v>
      </c>
      <c r="AF124" s="28">
        <f>IF(AQ124="2",BH124,0)</f>
        <v>0</v>
      </c>
      <c r="AG124" s="28">
        <f>IF(AQ124="2",BI124,0)</f>
        <v>0</v>
      </c>
      <c r="AH124" s="28">
        <f>IF(AQ124="0",BJ124,0)</f>
        <v>0</v>
      </c>
      <c r="AI124" s="56" t="s">
        <v>72</v>
      </c>
      <c r="AJ124" s="60">
        <f>IF(AN124=0,K124,0)</f>
        <v>0</v>
      </c>
      <c r="AK124" s="60">
        <f>IF(AN124=15,K124,0)</f>
        <v>0</v>
      </c>
      <c r="AL124" s="60">
        <f>IF(AN124=21,K124,0)</f>
        <v>0</v>
      </c>
      <c r="AN124" s="28">
        <v>21</v>
      </c>
      <c r="AO124" s="28">
        <f>J124*0.358739714062049</f>
        <v>0</v>
      </c>
      <c r="AP124" s="28">
        <f>J124*(1-0.358739714062049)</f>
        <v>0</v>
      </c>
      <c r="AQ124" s="57" t="s">
        <v>82</v>
      </c>
      <c r="AV124" s="28">
        <f>AW124+AX124</f>
        <v>0</v>
      </c>
      <c r="AW124" s="28">
        <f>I124*AO124</f>
        <v>0</v>
      </c>
      <c r="AX124" s="28">
        <f>I124*AP124</f>
        <v>0</v>
      </c>
      <c r="AY124" s="59" t="s">
        <v>924</v>
      </c>
      <c r="AZ124" s="59" t="s">
        <v>957</v>
      </c>
      <c r="BA124" s="56" t="s">
        <v>966</v>
      </c>
      <c r="BC124" s="28">
        <f>AW124+AX124</f>
        <v>0</v>
      </c>
      <c r="BD124" s="28">
        <f>J124/(100-BE124)*100</f>
        <v>0</v>
      </c>
      <c r="BE124" s="28">
        <v>0</v>
      </c>
      <c r="BF124" s="28">
        <f>124</f>
        <v>124</v>
      </c>
      <c r="BH124" s="60">
        <f>I124*AO124</f>
        <v>0</v>
      </c>
      <c r="BI124" s="60">
        <f>I124*AP124</f>
        <v>0</v>
      </c>
      <c r="BJ124" s="60">
        <f>I124*J124</f>
        <v>0</v>
      </c>
      <c r="BK124" s="60" t="s">
        <v>971</v>
      </c>
      <c r="BL124" s="28">
        <v>60</v>
      </c>
    </row>
    <row r="125" spans="1:64" x14ac:dyDescent="0.25">
      <c r="A125" s="17"/>
      <c r="C125" s="148" t="s">
        <v>568</v>
      </c>
      <c r="D125" s="149"/>
      <c r="E125" s="149"/>
      <c r="F125" s="149"/>
      <c r="G125" s="149"/>
      <c r="I125" s="77">
        <v>152.88800000000001</v>
      </c>
      <c r="L125" s="14"/>
      <c r="M125" s="17"/>
    </row>
    <row r="126" spans="1:64" x14ac:dyDescent="0.25">
      <c r="A126" s="33"/>
      <c r="B126" s="40" t="s">
        <v>142</v>
      </c>
      <c r="C126" s="144" t="s">
        <v>569</v>
      </c>
      <c r="D126" s="145"/>
      <c r="E126" s="145"/>
      <c r="F126" s="145"/>
      <c r="G126" s="145"/>
      <c r="H126" s="46" t="s">
        <v>58</v>
      </c>
      <c r="I126" s="46" t="s">
        <v>58</v>
      </c>
      <c r="J126" s="46" t="s">
        <v>58</v>
      </c>
      <c r="K126" s="65">
        <f>SUM(K127:K130)</f>
        <v>0</v>
      </c>
      <c r="L126" s="52"/>
      <c r="M126" s="17"/>
      <c r="AI126" s="56" t="s">
        <v>72</v>
      </c>
      <c r="AS126" s="65">
        <f>SUM(AJ127:AJ130)</f>
        <v>0</v>
      </c>
      <c r="AT126" s="65">
        <f>SUM(AK127:AK130)</f>
        <v>0</v>
      </c>
      <c r="AU126" s="65">
        <f>SUM(AL127:AL130)</f>
        <v>0</v>
      </c>
    </row>
    <row r="127" spans="1:64" x14ac:dyDescent="0.25">
      <c r="A127" s="34" t="s">
        <v>116</v>
      </c>
      <c r="B127" s="41" t="s">
        <v>297</v>
      </c>
      <c r="C127" s="146" t="s">
        <v>570</v>
      </c>
      <c r="D127" s="147"/>
      <c r="E127" s="147"/>
      <c r="F127" s="147"/>
      <c r="G127" s="147"/>
      <c r="H127" s="41" t="s">
        <v>891</v>
      </c>
      <c r="I127" s="76">
        <f>'Stavební rozpočet'!I127</f>
        <v>152.88800000000001</v>
      </c>
      <c r="J127" s="60"/>
      <c r="K127" s="60">
        <f>I127*J127</f>
        <v>0</v>
      </c>
      <c r="L127" s="53" t="s">
        <v>906</v>
      </c>
      <c r="M127" s="17"/>
      <c r="Z127" s="28">
        <f>IF(AQ127="5",BJ127,0)</f>
        <v>0</v>
      </c>
      <c r="AB127" s="28">
        <f>IF(AQ127="1",BH127,0)</f>
        <v>0</v>
      </c>
      <c r="AC127" s="28">
        <f>IF(AQ127="1",BI127,0)</f>
        <v>0</v>
      </c>
      <c r="AD127" s="28">
        <f>IF(AQ127="7",BH127,0)</f>
        <v>0</v>
      </c>
      <c r="AE127" s="28">
        <f>IF(AQ127="7",BI127,0)</f>
        <v>0</v>
      </c>
      <c r="AF127" s="28">
        <f>IF(AQ127="2",BH127,0)</f>
        <v>0</v>
      </c>
      <c r="AG127" s="28">
        <f>IF(AQ127="2",BI127,0)</f>
        <v>0</v>
      </c>
      <c r="AH127" s="28">
        <f>IF(AQ127="0",BJ127,0)</f>
        <v>0</v>
      </c>
      <c r="AI127" s="56" t="s">
        <v>72</v>
      </c>
      <c r="AJ127" s="60">
        <f>IF(AN127=0,K127,0)</f>
        <v>0</v>
      </c>
      <c r="AK127" s="60">
        <f>IF(AN127=15,K127,0)</f>
        <v>0</v>
      </c>
      <c r="AL127" s="60">
        <f>IF(AN127=21,K127,0)</f>
        <v>0</v>
      </c>
      <c r="AN127" s="28">
        <v>21</v>
      </c>
      <c r="AO127" s="28">
        <f>J127*0.294415000632645</f>
        <v>0</v>
      </c>
      <c r="AP127" s="28">
        <f>J127*(1-0.294415000632645)</f>
        <v>0</v>
      </c>
      <c r="AQ127" s="57" t="s">
        <v>82</v>
      </c>
      <c r="AV127" s="28">
        <f>AW127+AX127</f>
        <v>0</v>
      </c>
      <c r="AW127" s="28">
        <f>I127*AO127</f>
        <v>0</v>
      </c>
      <c r="AX127" s="28">
        <f>I127*AP127</f>
        <v>0</v>
      </c>
      <c r="AY127" s="59" t="s">
        <v>925</v>
      </c>
      <c r="AZ127" s="59" t="s">
        <v>957</v>
      </c>
      <c r="BA127" s="56" t="s">
        <v>966</v>
      </c>
      <c r="BC127" s="28">
        <f>AW127+AX127</f>
        <v>0</v>
      </c>
      <c r="BD127" s="28">
        <f>J127/(100-BE127)*100</f>
        <v>0</v>
      </c>
      <c r="BE127" s="28">
        <v>0</v>
      </c>
      <c r="BF127" s="28">
        <f>127</f>
        <v>127</v>
      </c>
      <c r="BH127" s="60">
        <f>I127*AO127</f>
        <v>0</v>
      </c>
      <c r="BI127" s="60">
        <f>I127*AP127</f>
        <v>0</v>
      </c>
      <c r="BJ127" s="60">
        <f>I127*J127</f>
        <v>0</v>
      </c>
      <c r="BK127" s="60" t="s">
        <v>971</v>
      </c>
      <c r="BL127" s="28">
        <v>61</v>
      </c>
    </row>
    <row r="128" spans="1:64" x14ac:dyDescent="0.25">
      <c r="A128" s="17"/>
      <c r="C128" s="148" t="s">
        <v>571</v>
      </c>
      <c r="D128" s="149"/>
      <c r="E128" s="149"/>
      <c r="F128" s="149"/>
      <c r="G128" s="149"/>
      <c r="I128" s="77">
        <v>152.88800000000001</v>
      </c>
      <c r="L128" s="14"/>
      <c r="M128" s="17"/>
    </row>
    <row r="129" spans="1:64" x14ac:dyDescent="0.25">
      <c r="A129" s="17"/>
      <c r="C129" s="148" t="s">
        <v>572</v>
      </c>
      <c r="D129" s="149"/>
      <c r="E129" s="149"/>
      <c r="F129" s="149"/>
      <c r="G129" s="149"/>
      <c r="I129" s="77">
        <v>0</v>
      </c>
      <c r="L129" s="14"/>
      <c r="M129" s="17"/>
    </row>
    <row r="130" spans="1:64" x14ac:dyDescent="0.25">
      <c r="A130" s="34" t="s">
        <v>117</v>
      </c>
      <c r="B130" s="41" t="s">
        <v>298</v>
      </c>
      <c r="C130" s="146" t="s">
        <v>573</v>
      </c>
      <c r="D130" s="147"/>
      <c r="E130" s="147"/>
      <c r="F130" s="147"/>
      <c r="G130" s="147"/>
      <c r="H130" s="41" t="s">
        <v>891</v>
      </c>
      <c r="I130" s="76">
        <f>'Stavební rozpočet'!I130</f>
        <v>598.35199999999998</v>
      </c>
      <c r="J130" s="60"/>
      <c r="K130" s="60">
        <f>I130*J130</f>
        <v>0</v>
      </c>
      <c r="L130" s="53" t="s">
        <v>906</v>
      </c>
      <c r="M130" s="17"/>
      <c r="Z130" s="28">
        <f>IF(AQ130="5",BJ130,0)</f>
        <v>0</v>
      </c>
      <c r="AB130" s="28">
        <f>IF(AQ130="1",BH130,0)</f>
        <v>0</v>
      </c>
      <c r="AC130" s="28">
        <f>IF(AQ130="1",BI130,0)</f>
        <v>0</v>
      </c>
      <c r="AD130" s="28">
        <f>IF(AQ130="7",BH130,0)</f>
        <v>0</v>
      </c>
      <c r="AE130" s="28">
        <f>IF(AQ130="7",BI130,0)</f>
        <v>0</v>
      </c>
      <c r="AF130" s="28">
        <f>IF(AQ130="2",BH130,0)</f>
        <v>0</v>
      </c>
      <c r="AG130" s="28">
        <f>IF(AQ130="2",BI130,0)</f>
        <v>0</v>
      </c>
      <c r="AH130" s="28">
        <f>IF(AQ130="0",BJ130,0)</f>
        <v>0</v>
      </c>
      <c r="AI130" s="56" t="s">
        <v>72</v>
      </c>
      <c r="AJ130" s="60">
        <f>IF(AN130=0,K130,0)</f>
        <v>0</v>
      </c>
      <c r="AK130" s="60">
        <f>IF(AN130=15,K130,0)</f>
        <v>0</v>
      </c>
      <c r="AL130" s="60">
        <f>IF(AN130=21,K130,0)</f>
        <v>0</v>
      </c>
      <c r="AN130" s="28">
        <v>21</v>
      </c>
      <c r="AO130" s="28">
        <f>J130*0.251966391217328</f>
        <v>0</v>
      </c>
      <c r="AP130" s="28">
        <f>J130*(1-0.251966391217328)</f>
        <v>0</v>
      </c>
      <c r="AQ130" s="57" t="s">
        <v>82</v>
      </c>
      <c r="AV130" s="28">
        <f>AW130+AX130</f>
        <v>0</v>
      </c>
      <c r="AW130" s="28">
        <f>I130*AO130</f>
        <v>0</v>
      </c>
      <c r="AX130" s="28">
        <f>I130*AP130</f>
        <v>0</v>
      </c>
      <c r="AY130" s="59" t="s">
        <v>925</v>
      </c>
      <c r="AZ130" s="59" t="s">
        <v>957</v>
      </c>
      <c r="BA130" s="56" t="s">
        <v>966</v>
      </c>
      <c r="BC130" s="28">
        <f>AW130+AX130</f>
        <v>0</v>
      </c>
      <c r="BD130" s="28">
        <f>J130/(100-BE130)*100</f>
        <v>0</v>
      </c>
      <c r="BE130" s="28">
        <v>0</v>
      </c>
      <c r="BF130" s="28">
        <f>130</f>
        <v>130</v>
      </c>
      <c r="BH130" s="60">
        <f>I130*AO130</f>
        <v>0</v>
      </c>
      <c r="BI130" s="60">
        <f>I130*AP130</f>
        <v>0</v>
      </c>
      <c r="BJ130" s="60">
        <f>I130*J130</f>
        <v>0</v>
      </c>
      <c r="BK130" s="60" t="s">
        <v>971</v>
      </c>
      <c r="BL130" s="28">
        <v>61</v>
      </c>
    </row>
    <row r="131" spans="1:64" x14ac:dyDescent="0.25">
      <c r="A131" s="17"/>
      <c r="C131" s="148" t="s">
        <v>574</v>
      </c>
      <c r="D131" s="149"/>
      <c r="E131" s="149"/>
      <c r="F131" s="149"/>
      <c r="G131" s="149"/>
      <c r="I131" s="77">
        <v>412.04599999999999</v>
      </c>
      <c r="L131" s="14"/>
      <c r="M131" s="17"/>
    </row>
    <row r="132" spans="1:64" x14ac:dyDescent="0.25">
      <c r="A132" s="17"/>
      <c r="C132" s="148" t="s">
        <v>575</v>
      </c>
      <c r="D132" s="149"/>
      <c r="E132" s="149"/>
      <c r="F132" s="149"/>
      <c r="G132" s="149"/>
      <c r="I132" s="77">
        <v>186.30600000000001</v>
      </c>
      <c r="L132" s="14"/>
      <c r="M132" s="17"/>
    </row>
    <row r="133" spans="1:64" x14ac:dyDescent="0.25">
      <c r="A133" s="33"/>
      <c r="B133" s="40" t="s">
        <v>143</v>
      </c>
      <c r="C133" s="144" t="s">
        <v>576</v>
      </c>
      <c r="D133" s="145"/>
      <c r="E133" s="145"/>
      <c r="F133" s="145"/>
      <c r="G133" s="145"/>
      <c r="H133" s="46" t="s">
        <v>58</v>
      </c>
      <c r="I133" s="46" t="s">
        <v>58</v>
      </c>
      <c r="J133" s="46" t="s">
        <v>58</v>
      </c>
      <c r="K133" s="65">
        <f>SUM(K134:K134)</f>
        <v>0</v>
      </c>
      <c r="L133" s="52"/>
      <c r="M133" s="17"/>
      <c r="AI133" s="56" t="s">
        <v>72</v>
      </c>
      <c r="AS133" s="65">
        <f>SUM(AJ134:AJ134)</f>
        <v>0</v>
      </c>
      <c r="AT133" s="65">
        <f>SUM(AK134:AK134)</f>
        <v>0</v>
      </c>
      <c r="AU133" s="65">
        <f>SUM(AL134:AL134)</f>
        <v>0</v>
      </c>
    </row>
    <row r="134" spans="1:64" x14ac:dyDescent="0.25">
      <c r="A134" s="34" t="s">
        <v>118</v>
      </c>
      <c r="B134" s="41" t="s">
        <v>299</v>
      </c>
      <c r="C134" s="146" t="s">
        <v>577</v>
      </c>
      <c r="D134" s="147"/>
      <c r="E134" s="147"/>
      <c r="F134" s="147"/>
      <c r="G134" s="147"/>
      <c r="H134" s="41" t="s">
        <v>891</v>
      </c>
      <c r="I134" s="76">
        <f>'Stavební rozpočet'!I134</f>
        <v>244.74</v>
      </c>
      <c r="J134" s="60"/>
      <c r="K134" s="60">
        <f>I134*J134</f>
        <v>0</v>
      </c>
      <c r="L134" s="53" t="s">
        <v>906</v>
      </c>
      <c r="M134" s="17"/>
      <c r="Z134" s="28">
        <f>IF(AQ134="5",BJ134,0)</f>
        <v>0</v>
      </c>
      <c r="AB134" s="28">
        <f>IF(AQ134="1",BH134,0)</f>
        <v>0</v>
      </c>
      <c r="AC134" s="28">
        <f>IF(AQ134="1",BI134,0)</f>
        <v>0</v>
      </c>
      <c r="AD134" s="28">
        <f>IF(AQ134="7",BH134,0)</f>
        <v>0</v>
      </c>
      <c r="AE134" s="28">
        <f>IF(AQ134="7",BI134,0)</f>
        <v>0</v>
      </c>
      <c r="AF134" s="28">
        <f>IF(AQ134="2",BH134,0)</f>
        <v>0</v>
      </c>
      <c r="AG134" s="28">
        <f>IF(AQ134="2",BI134,0)</f>
        <v>0</v>
      </c>
      <c r="AH134" s="28">
        <f>IF(AQ134="0",BJ134,0)</f>
        <v>0</v>
      </c>
      <c r="AI134" s="56" t="s">
        <v>72</v>
      </c>
      <c r="AJ134" s="60">
        <f>IF(AN134=0,K134,0)</f>
        <v>0</v>
      </c>
      <c r="AK134" s="60">
        <f>IF(AN134=15,K134,0)</f>
        <v>0</v>
      </c>
      <c r="AL134" s="60">
        <f>IF(AN134=21,K134,0)</f>
        <v>0</v>
      </c>
      <c r="AN134" s="28">
        <v>21</v>
      </c>
      <c r="AO134" s="28">
        <f>J134*0.468365217391304</f>
        <v>0</v>
      </c>
      <c r="AP134" s="28">
        <f>J134*(1-0.468365217391304)</f>
        <v>0</v>
      </c>
      <c r="AQ134" s="57" t="s">
        <v>82</v>
      </c>
      <c r="AV134" s="28">
        <f>AW134+AX134</f>
        <v>0</v>
      </c>
      <c r="AW134" s="28">
        <f>I134*AO134</f>
        <v>0</v>
      </c>
      <c r="AX134" s="28">
        <f>I134*AP134</f>
        <v>0</v>
      </c>
      <c r="AY134" s="59" t="s">
        <v>926</v>
      </c>
      <c r="AZ134" s="59" t="s">
        <v>957</v>
      </c>
      <c r="BA134" s="56" t="s">
        <v>966</v>
      </c>
      <c r="BC134" s="28">
        <f>AW134+AX134</f>
        <v>0</v>
      </c>
      <c r="BD134" s="28">
        <f>J134/(100-BE134)*100</f>
        <v>0</v>
      </c>
      <c r="BE134" s="28">
        <v>0</v>
      </c>
      <c r="BF134" s="28">
        <f>134</f>
        <v>134</v>
      </c>
      <c r="BH134" s="60">
        <f>I134*AO134</f>
        <v>0</v>
      </c>
      <c r="BI134" s="60">
        <f>I134*AP134</f>
        <v>0</v>
      </c>
      <c r="BJ134" s="60">
        <f>I134*J134</f>
        <v>0</v>
      </c>
      <c r="BK134" s="60" t="s">
        <v>971</v>
      </c>
      <c r="BL134" s="28">
        <v>62</v>
      </c>
    </row>
    <row r="135" spans="1:64" x14ac:dyDescent="0.25">
      <c r="A135" s="17"/>
      <c r="C135" s="148" t="s">
        <v>578</v>
      </c>
      <c r="D135" s="149"/>
      <c r="E135" s="149"/>
      <c r="F135" s="149"/>
      <c r="G135" s="149"/>
      <c r="I135" s="77">
        <v>55.81</v>
      </c>
      <c r="L135" s="14"/>
      <c r="M135" s="17"/>
    </row>
    <row r="136" spans="1:64" x14ac:dyDescent="0.25">
      <c r="A136" s="17"/>
      <c r="C136" s="148" t="s">
        <v>579</v>
      </c>
      <c r="D136" s="149"/>
      <c r="E136" s="149"/>
      <c r="F136" s="149"/>
      <c r="G136" s="149"/>
      <c r="I136" s="77">
        <v>51.42</v>
      </c>
      <c r="L136" s="14"/>
      <c r="M136" s="17"/>
    </row>
    <row r="137" spans="1:64" x14ac:dyDescent="0.25">
      <c r="A137" s="17"/>
      <c r="C137" s="148" t="s">
        <v>580</v>
      </c>
      <c r="D137" s="149"/>
      <c r="E137" s="149"/>
      <c r="F137" s="149"/>
      <c r="G137" s="149"/>
      <c r="I137" s="77">
        <v>66.23</v>
      </c>
      <c r="L137" s="14"/>
      <c r="M137" s="17"/>
    </row>
    <row r="138" spans="1:64" x14ac:dyDescent="0.25">
      <c r="A138" s="17"/>
      <c r="C138" s="148" t="s">
        <v>581</v>
      </c>
      <c r="D138" s="149"/>
      <c r="E138" s="149"/>
      <c r="F138" s="149"/>
      <c r="G138" s="149"/>
      <c r="I138" s="77">
        <v>59.15</v>
      </c>
      <c r="L138" s="14"/>
      <c r="M138" s="17"/>
    </row>
    <row r="139" spans="1:64" x14ac:dyDescent="0.25">
      <c r="A139" s="17"/>
      <c r="C139" s="148" t="s">
        <v>582</v>
      </c>
      <c r="D139" s="149"/>
      <c r="E139" s="149"/>
      <c r="F139" s="149"/>
      <c r="G139" s="149"/>
      <c r="I139" s="77">
        <v>12.13</v>
      </c>
      <c r="L139" s="14"/>
      <c r="M139" s="17"/>
    </row>
    <row r="140" spans="1:64" x14ac:dyDescent="0.25">
      <c r="A140" s="33"/>
      <c r="B140" s="40" t="s">
        <v>144</v>
      </c>
      <c r="C140" s="144" t="s">
        <v>583</v>
      </c>
      <c r="D140" s="145"/>
      <c r="E140" s="145"/>
      <c r="F140" s="145"/>
      <c r="G140" s="145"/>
      <c r="H140" s="46" t="s">
        <v>58</v>
      </c>
      <c r="I140" s="46" t="s">
        <v>58</v>
      </c>
      <c r="J140" s="46" t="s">
        <v>58</v>
      </c>
      <c r="K140" s="65">
        <f>SUM(K141:K154)</f>
        <v>0</v>
      </c>
      <c r="L140" s="52"/>
      <c r="M140" s="17"/>
      <c r="AI140" s="56" t="s">
        <v>72</v>
      </c>
      <c r="AS140" s="65">
        <f>SUM(AJ141:AJ154)</f>
        <v>0</v>
      </c>
      <c r="AT140" s="65">
        <f>SUM(AK141:AK154)</f>
        <v>0</v>
      </c>
      <c r="AU140" s="65">
        <f>SUM(AL141:AL154)</f>
        <v>0</v>
      </c>
    </row>
    <row r="141" spans="1:64" x14ac:dyDescent="0.25">
      <c r="A141" s="34" t="s">
        <v>119</v>
      </c>
      <c r="B141" s="41" t="s">
        <v>300</v>
      </c>
      <c r="C141" s="146" t="s">
        <v>584</v>
      </c>
      <c r="D141" s="147"/>
      <c r="E141" s="147"/>
      <c r="F141" s="147"/>
      <c r="G141" s="147"/>
      <c r="H141" s="41" t="s">
        <v>891</v>
      </c>
      <c r="I141" s="76">
        <f>'Stavební rozpočet'!I141</f>
        <v>254.69</v>
      </c>
      <c r="J141" s="60"/>
      <c r="K141" s="60">
        <f>I141*J141</f>
        <v>0</v>
      </c>
      <c r="L141" s="53" t="s">
        <v>906</v>
      </c>
      <c r="M141" s="17"/>
      <c r="Z141" s="28">
        <f>IF(AQ141="5",BJ141,0)</f>
        <v>0</v>
      </c>
      <c r="AB141" s="28">
        <f>IF(AQ141="1",BH141,0)</f>
        <v>0</v>
      </c>
      <c r="AC141" s="28">
        <f>IF(AQ141="1",BI141,0)</f>
        <v>0</v>
      </c>
      <c r="AD141" s="28">
        <f>IF(AQ141="7",BH141,0)</f>
        <v>0</v>
      </c>
      <c r="AE141" s="28">
        <f>IF(AQ141="7",BI141,0)</f>
        <v>0</v>
      </c>
      <c r="AF141" s="28">
        <f>IF(AQ141="2",BH141,0)</f>
        <v>0</v>
      </c>
      <c r="AG141" s="28">
        <f>IF(AQ141="2",BI141,0)</f>
        <v>0</v>
      </c>
      <c r="AH141" s="28">
        <f>IF(AQ141="0",BJ141,0)</f>
        <v>0</v>
      </c>
      <c r="AI141" s="56" t="s">
        <v>72</v>
      </c>
      <c r="AJ141" s="60">
        <f>IF(AN141=0,K141,0)</f>
        <v>0</v>
      </c>
      <c r="AK141" s="60">
        <f>IF(AN141=15,K141,0)</f>
        <v>0</v>
      </c>
      <c r="AL141" s="60">
        <f>IF(AN141=21,K141,0)</f>
        <v>0</v>
      </c>
      <c r="AN141" s="28">
        <v>21</v>
      </c>
      <c r="AO141" s="28">
        <f>J141*0.584057673981875</f>
        <v>0</v>
      </c>
      <c r="AP141" s="28">
        <f>J141*(1-0.584057673981875)</f>
        <v>0</v>
      </c>
      <c r="AQ141" s="57" t="s">
        <v>82</v>
      </c>
      <c r="AV141" s="28">
        <f>AW141+AX141</f>
        <v>0</v>
      </c>
      <c r="AW141" s="28">
        <f>I141*AO141</f>
        <v>0</v>
      </c>
      <c r="AX141" s="28">
        <f>I141*AP141</f>
        <v>0</v>
      </c>
      <c r="AY141" s="59" t="s">
        <v>927</v>
      </c>
      <c r="AZ141" s="59" t="s">
        <v>957</v>
      </c>
      <c r="BA141" s="56" t="s">
        <v>966</v>
      </c>
      <c r="BC141" s="28">
        <f>AW141+AX141</f>
        <v>0</v>
      </c>
      <c r="BD141" s="28">
        <f>J141/(100-BE141)*100</f>
        <v>0</v>
      </c>
      <c r="BE141" s="28">
        <v>0</v>
      </c>
      <c r="BF141" s="28">
        <f>141</f>
        <v>141</v>
      </c>
      <c r="BH141" s="60">
        <f>I141*AO141</f>
        <v>0</v>
      </c>
      <c r="BI141" s="60">
        <f>I141*AP141</f>
        <v>0</v>
      </c>
      <c r="BJ141" s="60">
        <f>I141*J141</f>
        <v>0</v>
      </c>
      <c r="BK141" s="60" t="s">
        <v>971</v>
      </c>
      <c r="BL141" s="28">
        <v>63</v>
      </c>
    </row>
    <row r="142" spans="1:64" x14ac:dyDescent="0.25">
      <c r="A142" s="17"/>
      <c r="C142" s="148" t="s">
        <v>585</v>
      </c>
      <c r="D142" s="149"/>
      <c r="E142" s="149"/>
      <c r="F142" s="149"/>
      <c r="G142" s="149"/>
      <c r="I142" s="77">
        <v>0</v>
      </c>
      <c r="J142" s="84"/>
      <c r="L142" s="14"/>
      <c r="M142" s="17"/>
    </row>
    <row r="143" spans="1:64" x14ac:dyDescent="0.25">
      <c r="A143" s="17"/>
      <c r="C143" s="148" t="s">
        <v>586</v>
      </c>
      <c r="D143" s="149"/>
      <c r="E143" s="149"/>
      <c r="F143" s="149"/>
      <c r="G143" s="149"/>
      <c r="I143" s="77">
        <v>108.55</v>
      </c>
      <c r="J143" s="84"/>
      <c r="L143" s="14"/>
      <c r="M143" s="17"/>
    </row>
    <row r="144" spans="1:64" x14ac:dyDescent="0.25">
      <c r="A144" s="17"/>
      <c r="C144" s="148" t="s">
        <v>587</v>
      </c>
      <c r="D144" s="149"/>
      <c r="E144" s="149"/>
      <c r="F144" s="149"/>
      <c r="G144" s="149"/>
      <c r="I144" s="77">
        <v>0</v>
      </c>
      <c r="J144" s="84"/>
      <c r="L144" s="14"/>
      <c r="M144" s="17"/>
    </row>
    <row r="145" spans="1:64" x14ac:dyDescent="0.25">
      <c r="A145" s="17"/>
      <c r="C145" s="148" t="s">
        <v>588</v>
      </c>
      <c r="D145" s="149"/>
      <c r="E145" s="149"/>
      <c r="F145" s="149"/>
      <c r="G145" s="149"/>
      <c r="I145" s="77">
        <v>146.13999999999999</v>
      </c>
      <c r="J145" s="84"/>
      <c r="L145" s="14"/>
      <c r="M145" s="17"/>
    </row>
    <row r="146" spans="1:64" x14ac:dyDescent="0.25">
      <c r="A146" s="34" t="s">
        <v>120</v>
      </c>
      <c r="B146" s="41" t="s">
        <v>301</v>
      </c>
      <c r="C146" s="146" t="s">
        <v>589</v>
      </c>
      <c r="D146" s="147"/>
      <c r="E146" s="147"/>
      <c r="F146" s="147"/>
      <c r="G146" s="147"/>
      <c r="H146" s="41" t="s">
        <v>891</v>
      </c>
      <c r="I146" s="76">
        <f>'Stavební rozpočet'!I146</f>
        <v>1093.94</v>
      </c>
      <c r="J146" s="60"/>
      <c r="K146" s="60">
        <f>I146*J146</f>
        <v>0</v>
      </c>
      <c r="L146" s="53" t="s">
        <v>906</v>
      </c>
      <c r="M146" s="17"/>
      <c r="Z146" s="28">
        <f>IF(AQ146="5",BJ146,0)</f>
        <v>0</v>
      </c>
      <c r="AB146" s="28">
        <f>IF(AQ146="1",BH146,0)</f>
        <v>0</v>
      </c>
      <c r="AC146" s="28">
        <f>IF(AQ146="1",BI146,0)</f>
        <v>0</v>
      </c>
      <c r="AD146" s="28">
        <f>IF(AQ146="7",BH146,0)</f>
        <v>0</v>
      </c>
      <c r="AE146" s="28">
        <f>IF(AQ146="7",BI146,0)</f>
        <v>0</v>
      </c>
      <c r="AF146" s="28">
        <f>IF(AQ146="2",BH146,0)</f>
        <v>0</v>
      </c>
      <c r="AG146" s="28">
        <f>IF(AQ146="2",BI146,0)</f>
        <v>0</v>
      </c>
      <c r="AH146" s="28">
        <f>IF(AQ146="0",BJ146,0)</f>
        <v>0</v>
      </c>
      <c r="AI146" s="56" t="s">
        <v>72</v>
      </c>
      <c r="AJ146" s="60">
        <f>IF(AN146=0,K146,0)</f>
        <v>0</v>
      </c>
      <c r="AK146" s="60">
        <f>IF(AN146=15,K146,0)</f>
        <v>0</v>
      </c>
      <c r="AL146" s="60">
        <f>IF(AN146=21,K146,0)</f>
        <v>0</v>
      </c>
      <c r="AN146" s="28">
        <v>21</v>
      </c>
      <c r="AO146" s="28">
        <f>J146*0.756295784184938</f>
        <v>0</v>
      </c>
      <c r="AP146" s="28">
        <f>J146*(1-0.756295784184938)</f>
        <v>0</v>
      </c>
      <c r="AQ146" s="57" t="s">
        <v>82</v>
      </c>
      <c r="AV146" s="28">
        <f>AW146+AX146</f>
        <v>0</v>
      </c>
      <c r="AW146" s="28">
        <f>I146*AO146</f>
        <v>0</v>
      </c>
      <c r="AX146" s="28">
        <f>I146*AP146</f>
        <v>0</v>
      </c>
      <c r="AY146" s="59" t="s">
        <v>927</v>
      </c>
      <c r="AZ146" s="59" t="s">
        <v>957</v>
      </c>
      <c r="BA146" s="56" t="s">
        <v>966</v>
      </c>
      <c r="BC146" s="28">
        <f>AW146+AX146</f>
        <v>0</v>
      </c>
      <c r="BD146" s="28">
        <f>J146/(100-BE146)*100</f>
        <v>0</v>
      </c>
      <c r="BE146" s="28">
        <v>0</v>
      </c>
      <c r="BF146" s="28">
        <f>146</f>
        <v>146</v>
      </c>
      <c r="BH146" s="60">
        <f>I146*AO146</f>
        <v>0</v>
      </c>
      <c r="BI146" s="60">
        <f>I146*AP146</f>
        <v>0</v>
      </c>
      <c r="BJ146" s="60">
        <f>I146*J146</f>
        <v>0</v>
      </c>
      <c r="BK146" s="60" t="s">
        <v>971</v>
      </c>
      <c r="BL146" s="28">
        <v>63</v>
      </c>
    </row>
    <row r="147" spans="1:64" x14ac:dyDescent="0.25">
      <c r="A147" s="17"/>
      <c r="C147" s="148" t="s">
        <v>585</v>
      </c>
      <c r="D147" s="149"/>
      <c r="E147" s="149"/>
      <c r="F147" s="149"/>
      <c r="G147" s="149"/>
      <c r="I147" s="77">
        <v>0</v>
      </c>
      <c r="J147" s="84"/>
      <c r="L147" s="14"/>
      <c r="M147" s="17"/>
    </row>
    <row r="148" spans="1:64" x14ac:dyDescent="0.25">
      <c r="A148" s="17"/>
      <c r="C148" s="148" t="s">
        <v>590</v>
      </c>
      <c r="D148" s="149"/>
      <c r="E148" s="149"/>
      <c r="F148" s="149"/>
      <c r="G148" s="149"/>
      <c r="I148" s="77">
        <v>217.1</v>
      </c>
      <c r="J148" s="84"/>
      <c r="L148" s="14"/>
      <c r="M148" s="17"/>
    </row>
    <row r="149" spans="1:64" x14ac:dyDescent="0.25">
      <c r="A149" s="17"/>
      <c r="C149" s="148" t="s">
        <v>587</v>
      </c>
      <c r="D149" s="149"/>
      <c r="E149" s="149"/>
      <c r="F149" s="149"/>
      <c r="G149" s="149"/>
      <c r="I149" s="77">
        <v>0</v>
      </c>
      <c r="J149" s="84"/>
      <c r="L149" s="14"/>
      <c r="M149" s="17"/>
    </row>
    <row r="150" spans="1:64" x14ac:dyDescent="0.25">
      <c r="A150" s="17"/>
      <c r="C150" s="148" t="s">
        <v>591</v>
      </c>
      <c r="D150" s="149"/>
      <c r="E150" s="149"/>
      <c r="F150" s="149"/>
      <c r="G150" s="149"/>
      <c r="I150" s="77">
        <v>876.84</v>
      </c>
      <c r="J150" s="84"/>
      <c r="L150" s="14"/>
      <c r="M150" s="17"/>
    </row>
    <row r="151" spans="1:64" x14ac:dyDescent="0.25">
      <c r="A151" s="34" t="s">
        <v>121</v>
      </c>
      <c r="B151" s="41" t="s">
        <v>302</v>
      </c>
      <c r="C151" s="146" t="s">
        <v>592</v>
      </c>
      <c r="D151" s="147"/>
      <c r="E151" s="147"/>
      <c r="F151" s="147"/>
      <c r="G151" s="147"/>
      <c r="H151" s="41" t="s">
        <v>891</v>
      </c>
      <c r="I151" s="76">
        <f>'Stavební rozpočet'!I151</f>
        <v>21.76</v>
      </c>
      <c r="J151" s="60"/>
      <c r="K151" s="60">
        <f>I151*J151</f>
        <v>0</v>
      </c>
      <c r="L151" s="53" t="s">
        <v>906</v>
      </c>
      <c r="M151" s="17"/>
      <c r="Z151" s="28">
        <f>IF(AQ151="5",BJ151,0)</f>
        <v>0</v>
      </c>
      <c r="AB151" s="28">
        <f>IF(AQ151="1",BH151,0)</f>
        <v>0</v>
      </c>
      <c r="AC151" s="28">
        <f>IF(AQ151="1",BI151,0)</f>
        <v>0</v>
      </c>
      <c r="AD151" s="28">
        <f>IF(AQ151="7",BH151,0)</f>
        <v>0</v>
      </c>
      <c r="AE151" s="28">
        <f>IF(AQ151="7",BI151,0)</f>
        <v>0</v>
      </c>
      <c r="AF151" s="28">
        <f>IF(AQ151="2",BH151,0)</f>
        <v>0</v>
      </c>
      <c r="AG151" s="28">
        <f>IF(AQ151="2",BI151,0)</f>
        <v>0</v>
      </c>
      <c r="AH151" s="28">
        <f>IF(AQ151="0",BJ151,0)</f>
        <v>0</v>
      </c>
      <c r="AI151" s="56" t="s">
        <v>72</v>
      </c>
      <c r="AJ151" s="60">
        <f>IF(AN151=0,K151,0)</f>
        <v>0</v>
      </c>
      <c r="AK151" s="60">
        <f>IF(AN151=15,K151,0)</f>
        <v>0</v>
      </c>
      <c r="AL151" s="60">
        <f>IF(AN151=21,K151,0)</f>
        <v>0</v>
      </c>
      <c r="AN151" s="28">
        <v>21</v>
      </c>
      <c r="AO151" s="28">
        <f>J151*0.669657657657658</f>
        <v>0</v>
      </c>
      <c r="AP151" s="28">
        <f>J151*(1-0.669657657657658)</f>
        <v>0</v>
      </c>
      <c r="AQ151" s="57" t="s">
        <v>82</v>
      </c>
      <c r="AV151" s="28">
        <f>AW151+AX151</f>
        <v>0</v>
      </c>
      <c r="AW151" s="28">
        <f>I151*AO151</f>
        <v>0</v>
      </c>
      <c r="AX151" s="28">
        <f>I151*AP151</f>
        <v>0</v>
      </c>
      <c r="AY151" s="59" t="s">
        <v>927</v>
      </c>
      <c r="AZ151" s="59" t="s">
        <v>957</v>
      </c>
      <c r="BA151" s="56" t="s">
        <v>966</v>
      </c>
      <c r="BC151" s="28">
        <f>AW151+AX151</f>
        <v>0</v>
      </c>
      <c r="BD151" s="28">
        <f>J151/(100-BE151)*100</f>
        <v>0</v>
      </c>
      <c r="BE151" s="28">
        <v>0</v>
      </c>
      <c r="BF151" s="28">
        <f>151</f>
        <v>151</v>
      </c>
      <c r="BH151" s="60">
        <f>I151*AO151</f>
        <v>0</v>
      </c>
      <c r="BI151" s="60">
        <f>I151*AP151</f>
        <v>0</v>
      </c>
      <c r="BJ151" s="60">
        <f>I151*J151</f>
        <v>0</v>
      </c>
      <c r="BK151" s="60" t="s">
        <v>971</v>
      </c>
      <c r="BL151" s="28">
        <v>63</v>
      </c>
    </row>
    <row r="152" spans="1:64" x14ac:dyDescent="0.25">
      <c r="A152" s="17"/>
      <c r="C152" s="148" t="s">
        <v>593</v>
      </c>
      <c r="D152" s="149"/>
      <c r="E152" s="149"/>
      <c r="F152" s="149"/>
      <c r="G152" s="149"/>
      <c r="I152" s="77">
        <v>10.26</v>
      </c>
      <c r="J152" s="84"/>
      <c r="L152" s="14"/>
      <c r="M152" s="17"/>
    </row>
    <row r="153" spans="1:64" x14ac:dyDescent="0.25">
      <c r="A153" s="17"/>
      <c r="C153" s="148" t="s">
        <v>594</v>
      </c>
      <c r="D153" s="149"/>
      <c r="E153" s="149"/>
      <c r="F153" s="149"/>
      <c r="G153" s="149"/>
      <c r="I153" s="77">
        <v>11.5</v>
      </c>
      <c r="J153" s="84"/>
      <c r="L153" s="14"/>
      <c r="M153" s="17"/>
    </row>
    <row r="154" spans="1:64" x14ac:dyDescent="0.25">
      <c r="A154" s="34" t="s">
        <v>122</v>
      </c>
      <c r="B154" s="41" t="s">
        <v>303</v>
      </c>
      <c r="C154" s="146" t="s">
        <v>595</v>
      </c>
      <c r="D154" s="147"/>
      <c r="E154" s="147"/>
      <c r="F154" s="147"/>
      <c r="G154" s="147"/>
      <c r="H154" s="41" t="s">
        <v>891</v>
      </c>
      <c r="I154" s="76">
        <f>'Stavební rozpočet'!I154</f>
        <v>108.8</v>
      </c>
      <c r="J154" s="60"/>
      <c r="K154" s="60">
        <f>I154*J154</f>
        <v>0</v>
      </c>
      <c r="L154" s="53" t="s">
        <v>906</v>
      </c>
      <c r="M154" s="17"/>
      <c r="Z154" s="28">
        <f>IF(AQ154="5",BJ154,0)</f>
        <v>0</v>
      </c>
      <c r="AB154" s="28">
        <f>IF(AQ154="1",BH154,0)</f>
        <v>0</v>
      </c>
      <c r="AC154" s="28">
        <f>IF(AQ154="1",BI154,0)</f>
        <v>0</v>
      </c>
      <c r="AD154" s="28">
        <f>IF(AQ154="7",BH154,0)</f>
        <v>0</v>
      </c>
      <c r="AE154" s="28">
        <f>IF(AQ154="7",BI154,0)</f>
        <v>0</v>
      </c>
      <c r="AF154" s="28">
        <f>IF(AQ154="2",BH154,0)</f>
        <v>0</v>
      </c>
      <c r="AG154" s="28">
        <f>IF(AQ154="2",BI154,0)</f>
        <v>0</v>
      </c>
      <c r="AH154" s="28">
        <f>IF(AQ154="0",BJ154,0)</f>
        <v>0</v>
      </c>
      <c r="AI154" s="56" t="s">
        <v>72</v>
      </c>
      <c r="AJ154" s="60">
        <f>IF(AN154=0,K154,0)</f>
        <v>0</v>
      </c>
      <c r="AK154" s="60">
        <f>IF(AN154=15,K154,0)</f>
        <v>0</v>
      </c>
      <c r="AL154" s="60">
        <f>IF(AN154=21,K154,0)</f>
        <v>0</v>
      </c>
      <c r="AN154" s="28">
        <v>21</v>
      </c>
      <c r="AO154" s="28">
        <f>J154*0.878295994360845</f>
        <v>0</v>
      </c>
      <c r="AP154" s="28">
        <f>J154*(1-0.878295994360845)</f>
        <v>0</v>
      </c>
      <c r="AQ154" s="57" t="s">
        <v>82</v>
      </c>
      <c r="AV154" s="28">
        <f>AW154+AX154</f>
        <v>0</v>
      </c>
      <c r="AW154" s="28">
        <f>I154*AO154</f>
        <v>0</v>
      </c>
      <c r="AX154" s="28">
        <f>I154*AP154</f>
        <v>0</v>
      </c>
      <c r="AY154" s="59" t="s">
        <v>927</v>
      </c>
      <c r="AZ154" s="59" t="s">
        <v>957</v>
      </c>
      <c r="BA154" s="56" t="s">
        <v>966</v>
      </c>
      <c r="BC154" s="28">
        <f>AW154+AX154</f>
        <v>0</v>
      </c>
      <c r="BD154" s="28">
        <f>J154/(100-BE154)*100</f>
        <v>0</v>
      </c>
      <c r="BE154" s="28">
        <v>0</v>
      </c>
      <c r="BF154" s="28">
        <f>154</f>
        <v>154</v>
      </c>
      <c r="BH154" s="60">
        <f>I154*AO154</f>
        <v>0</v>
      </c>
      <c r="BI154" s="60">
        <f>I154*AP154</f>
        <v>0</v>
      </c>
      <c r="BJ154" s="60">
        <f>I154*J154</f>
        <v>0</v>
      </c>
      <c r="BK154" s="60" t="s">
        <v>971</v>
      </c>
      <c r="BL154" s="28">
        <v>63</v>
      </c>
    </row>
    <row r="155" spans="1:64" x14ac:dyDescent="0.25">
      <c r="A155" s="17"/>
      <c r="C155" s="148" t="s">
        <v>596</v>
      </c>
      <c r="D155" s="149"/>
      <c r="E155" s="149"/>
      <c r="F155" s="149"/>
      <c r="G155" s="149"/>
      <c r="I155" s="77">
        <v>0</v>
      </c>
      <c r="L155" s="14"/>
      <c r="M155" s="17"/>
    </row>
    <row r="156" spans="1:64" x14ac:dyDescent="0.25">
      <c r="A156" s="17"/>
      <c r="C156" s="148" t="s">
        <v>597</v>
      </c>
      <c r="D156" s="149"/>
      <c r="E156" s="149"/>
      <c r="F156" s="149"/>
      <c r="G156" s="149"/>
      <c r="I156" s="77">
        <v>51.3</v>
      </c>
      <c r="L156" s="14"/>
      <c r="M156" s="17"/>
    </row>
    <row r="157" spans="1:64" x14ac:dyDescent="0.25">
      <c r="A157" s="17"/>
      <c r="C157" s="148" t="s">
        <v>598</v>
      </c>
      <c r="D157" s="149"/>
      <c r="E157" s="149"/>
      <c r="F157" s="149"/>
      <c r="G157" s="149"/>
      <c r="I157" s="77">
        <v>57.5</v>
      </c>
      <c r="L157" s="14"/>
      <c r="M157" s="17"/>
    </row>
    <row r="158" spans="1:64" x14ac:dyDescent="0.25">
      <c r="A158" s="33"/>
      <c r="B158" s="40" t="s">
        <v>304</v>
      </c>
      <c r="C158" s="144" t="s">
        <v>599</v>
      </c>
      <c r="D158" s="145"/>
      <c r="E158" s="145"/>
      <c r="F158" s="145"/>
      <c r="G158" s="145"/>
      <c r="H158" s="46" t="s">
        <v>58</v>
      </c>
      <c r="I158" s="46" t="s">
        <v>58</v>
      </c>
      <c r="J158" s="46" t="s">
        <v>58</v>
      </c>
      <c r="K158" s="65">
        <f>SUM(K159:K165)</f>
        <v>0</v>
      </c>
      <c r="L158" s="52"/>
      <c r="M158" s="17"/>
      <c r="AI158" s="56" t="s">
        <v>72</v>
      </c>
      <c r="AS158" s="65">
        <f>SUM(AJ159:AJ165)</f>
        <v>0</v>
      </c>
      <c r="AT158" s="65">
        <f>SUM(AK159:AK165)</f>
        <v>0</v>
      </c>
      <c r="AU158" s="65">
        <f>SUM(AL159:AL165)</f>
        <v>0</v>
      </c>
    </row>
    <row r="159" spans="1:64" x14ac:dyDescent="0.25">
      <c r="A159" s="34" t="s">
        <v>123</v>
      </c>
      <c r="B159" s="41" t="s">
        <v>305</v>
      </c>
      <c r="C159" s="146" t="s">
        <v>600</v>
      </c>
      <c r="D159" s="147"/>
      <c r="E159" s="147"/>
      <c r="F159" s="147"/>
      <c r="G159" s="147"/>
      <c r="H159" s="83" t="s">
        <v>891</v>
      </c>
      <c r="I159" s="76">
        <f>'Stavební rozpočet'!I159</f>
        <v>167.9</v>
      </c>
      <c r="J159" s="60"/>
      <c r="K159" s="60">
        <f>I159*J159</f>
        <v>0</v>
      </c>
      <c r="L159" s="53" t="s">
        <v>906</v>
      </c>
      <c r="M159" s="17"/>
      <c r="Z159" s="28">
        <f>IF(AQ159="5",BJ159,0)</f>
        <v>0</v>
      </c>
      <c r="AB159" s="28">
        <f>IF(AQ159="1",BH159,0)</f>
        <v>0</v>
      </c>
      <c r="AC159" s="28">
        <f>IF(AQ159="1",BI159,0)</f>
        <v>0</v>
      </c>
      <c r="AD159" s="28">
        <f>IF(AQ159="7",BH159,0)</f>
        <v>0</v>
      </c>
      <c r="AE159" s="28">
        <f>IF(AQ159="7",BI159,0)</f>
        <v>0</v>
      </c>
      <c r="AF159" s="28">
        <f>IF(AQ159="2",BH159,0)</f>
        <v>0</v>
      </c>
      <c r="AG159" s="28">
        <f>IF(AQ159="2",BI159,0)</f>
        <v>0</v>
      </c>
      <c r="AH159" s="28">
        <f>IF(AQ159="0",BJ159,0)</f>
        <v>0</v>
      </c>
      <c r="AI159" s="56" t="s">
        <v>72</v>
      </c>
      <c r="AJ159" s="60">
        <f>IF(AN159=0,K159,0)</f>
        <v>0</v>
      </c>
      <c r="AK159" s="60">
        <f>IF(AN159=15,K159,0)</f>
        <v>0</v>
      </c>
      <c r="AL159" s="60">
        <f>IF(AN159=21,K159,0)</f>
        <v>0</v>
      </c>
      <c r="AN159" s="28">
        <v>21</v>
      </c>
      <c r="AO159" s="28">
        <f>J159*0.392</f>
        <v>0</v>
      </c>
      <c r="AP159" s="28">
        <f>J159*(1-0.392)</f>
        <v>0</v>
      </c>
      <c r="AQ159" s="57" t="s">
        <v>88</v>
      </c>
      <c r="AV159" s="28">
        <f>AW159+AX159</f>
        <v>0</v>
      </c>
      <c r="AW159" s="28">
        <f>I159*AO159</f>
        <v>0</v>
      </c>
      <c r="AX159" s="28">
        <f>I159*AP159</f>
        <v>0</v>
      </c>
      <c r="AY159" s="59" t="s">
        <v>928</v>
      </c>
      <c r="AZ159" s="59" t="s">
        <v>958</v>
      </c>
      <c r="BA159" s="56" t="s">
        <v>966</v>
      </c>
      <c r="BC159" s="28">
        <f>AW159+AX159</f>
        <v>0</v>
      </c>
      <c r="BD159" s="28">
        <f>J159/(100-BE159)*100</f>
        <v>0</v>
      </c>
      <c r="BE159" s="28">
        <v>0</v>
      </c>
      <c r="BF159" s="28">
        <f>159</f>
        <v>159</v>
      </c>
      <c r="BH159" s="60">
        <f>I159*AO159</f>
        <v>0</v>
      </c>
      <c r="BI159" s="60">
        <f>I159*AP159</f>
        <v>0</v>
      </c>
      <c r="BJ159" s="60">
        <f>I159*J159</f>
        <v>0</v>
      </c>
      <c r="BK159" s="60" t="s">
        <v>971</v>
      </c>
      <c r="BL159" s="28">
        <v>711</v>
      </c>
    </row>
    <row r="160" spans="1:64" x14ac:dyDescent="0.25">
      <c r="A160" s="17"/>
      <c r="B160" s="42" t="s">
        <v>265</v>
      </c>
      <c r="C160" s="150" t="s">
        <v>601</v>
      </c>
      <c r="D160" s="151"/>
      <c r="E160" s="151"/>
      <c r="F160" s="151"/>
      <c r="G160" s="151"/>
      <c r="H160" s="151"/>
      <c r="I160" s="151"/>
      <c r="J160" s="151"/>
      <c r="K160" s="151"/>
      <c r="L160" s="152"/>
      <c r="M160" s="17"/>
    </row>
    <row r="161" spans="1:64" x14ac:dyDescent="0.25">
      <c r="A161" s="17"/>
      <c r="C161" s="148" t="s">
        <v>602</v>
      </c>
      <c r="D161" s="149"/>
      <c r="E161" s="149"/>
      <c r="F161" s="149"/>
      <c r="G161" s="149"/>
      <c r="H161" s="84"/>
      <c r="I161" s="77">
        <v>65.459999999999994</v>
      </c>
      <c r="J161" s="84"/>
      <c r="K161" s="84"/>
      <c r="L161" s="14"/>
      <c r="M161" s="17"/>
    </row>
    <row r="162" spans="1:64" x14ac:dyDescent="0.25">
      <c r="A162" s="17"/>
      <c r="C162" s="148" t="s">
        <v>603</v>
      </c>
      <c r="D162" s="149"/>
      <c r="E162" s="149"/>
      <c r="F162" s="149"/>
      <c r="G162" s="149"/>
      <c r="H162" s="84"/>
      <c r="I162" s="77">
        <v>80.680000000000007</v>
      </c>
      <c r="J162" s="84"/>
      <c r="K162" s="84"/>
      <c r="L162" s="14"/>
      <c r="M162" s="17"/>
    </row>
    <row r="163" spans="1:64" x14ac:dyDescent="0.25">
      <c r="A163" s="17"/>
      <c r="C163" s="148" t="s">
        <v>604</v>
      </c>
      <c r="D163" s="149"/>
      <c r="E163" s="149"/>
      <c r="F163" s="149"/>
      <c r="G163" s="149"/>
      <c r="H163" s="84"/>
      <c r="I163" s="77">
        <v>10.26</v>
      </c>
      <c r="J163" s="84"/>
      <c r="K163" s="84"/>
      <c r="L163" s="14"/>
      <c r="M163" s="17"/>
    </row>
    <row r="164" spans="1:64" x14ac:dyDescent="0.25">
      <c r="A164" s="17"/>
      <c r="C164" s="148" t="s">
        <v>605</v>
      </c>
      <c r="D164" s="149"/>
      <c r="E164" s="149"/>
      <c r="F164" s="149"/>
      <c r="G164" s="149"/>
      <c r="H164" s="84"/>
      <c r="I164" s="77">
        <v>11.5</v>
      </c>
      <c r="J164" s="84"/>
      <c r="K164" s="84"/>
      <c r="L164" s="14"/>
      <c r="M164" s="17"/>
    </row>
    <row r="165" spans="1:64" x14ac:dyDescent="0.25">
      <c r="A165" s="34" t="s">
        <v>124</v>
      </c>
      <c r="B165" s="41" t="s">
        <v>306</v>
      </c>
      <c r="C165" s="146" t="s">
        <v>606</v>
      </c>
      <c r="D165" s="147"/>
      <c r="E165" s="147"/>
      <c r="F165" s="147"/>
      <c r="G165" s="147"/>
      <c r="H165" s="83" t="s">
        <v>891</v>
      </c>
      <c r="I165" s="76">
        <f>'Stavební rozpočet'!I165</f>
        <v>167.9</v>
      </c>
      <c r="J165" s="60"/>
      <c r="K165" s="60">
        <f>I165*J165</f>
        <v>0</v>
      </c>
      <c r="L165" s="53" t="s">
        <v>906</v>
      </c>
      <c r="M165" s="17"/>
      <c r="Z165" s="28">
        <f>IF(AQ165="5",BJ165,0)</f>
        <v>0</v>
      </c>
      <c r="AB165" s="28">
        <f>IF(AQ165="1",BH165,0)</f>
        <v>0</v>
      </c>
      <c r="AC165" s="28">
        <f>IF(AQ165="1",BI165,0)</f>
        <v>0</v>
      </c>
      <c r="AD165" s="28">
        <f>IF(AQ165="7",BH165,0)</f>
        <v>0</v>
      </c>
      <c r="AE165" s="28">
        <f>IF(AQ165="7",BI165,0)</f>
        <v>0</v>
      </c>
      <c r="AF165" s="28">
        <f>IF(AQ165="2",BH165,0)</f>
        <v>0</v>
      </c>
      <c r="AG165" s="28">
        <f>IF(AQ165="2",BI165,0)</f>
        <v>0</v>
      </c>
      <c r="AH165" s="28">
        <f>IF(AQ165="0",BJ165,0)</f>
        <v>0</v>
      </c>
      <c r="AI165" s="56" t="s">
        <v>72</v>
      </c>
      <c r="AJ165" s="60">
        <f>IF(AN165=0,K165,0)</f>
        <v>0</v>
      </c>
      <c r="AK165" s="60">
        <f>IF(AN165=15,K165,0)</f>
        <v>0</v>
      </c>
      <c r="AL165" s="60">
        <f>IF(AN165=21,K165,0)</f>
        <v>0</v>
      </c>
      <c r="AN165" s="28">
        <v>21</v>
      </c>
      <c r="AO165" s="28">
        <f>J165*0.631139240506329</f>
        <v>0</v>
      </c>
      <c r="AP165" s="28">
        <f>J165*(1-0.631139240506329)</f>
        <v>0</v>
      </c>
      <c r="AQ165" s="57" t="s">
        <v>88</v>
      </c>
      <c r="AV165" s="28">
        <f>AW165+AX165</f>
        <v>0</v>
      </c>
      <c r="AW165" s="28">
        <f>I165*AO165</f>
        <v>0</v>
      </c>
      <c r="AX165" s="28">
        <f>I165*AP165</f>
        <v>0</v>
      </c>
      <c r="AY165" s="59" t="s">
        <v>928</v>
      </c>
      <c r="AZ165" s="59" t="s">
        <v>958</v>
      </c>
      <c r="BA165" s="56" t="s">
        <v>966</v>
      </c>
      <c r="BC165" s="28">
        <f>AW165+AX165</f>
        <v>0</v>
      </c>
      <c r="BD165" s="28">
        <f>J165/(100-BE165)*100</f>
        <v>0</v>
      </c>
      <c r="BE165" s="28">
        <v>0</v>
      </c>
      <c r="BF165" s="28">
        <f>165</f>
        <v>165</v>
      </c>
      <c r="BH165" s="60">
        <f>I165*AO165</f>
        <v>0</v>
      </c>
      <c r="BI165" s="60">
        <f>I165*AP165</f>
        <v>0</v>
      </c>
      <c r="BJ165" s="60">
        <f>I165*J165</f>
        <v>0</v>
      </c>
      <c r="BK165" s="60" t="s">
        <v>971</v>
      </c>
      <c r="BL165" s="28">
        <v>711</v>
      </c>
    </row>
    <row r="166" spans="1:64" x14ac:dyDescent="0.25">
      <c r="A166" s="17"/>
      <c r="B166" s="42" t="s">
        <v>265</v>
      </c>
      <c r="C166" s="150" t="s">
        <v>607</v>
      </c>
      <c r="D166" s="151"/>
      <c r="E166" s="151"/>
      <c r="F166" s="151"/>
      <c r="G166" s="151"/>
      <c r="H166" s="151"/>
      <c r="I166" s="151"/>
      <c r="J166" s="151"/>
      <c r="K166" s="151"/>
      <c r="L166" s="152"/>
      <c r="M166" s="17"/>
    </row>
    <row r="167" spans="1:64" x14ac:dyDescent="0.25">
      <c r="A167" s="17"/>
      <c r="C167" s="148" t="s">
        <v>602</v>
      </c>
      <c r="D167" s="149"/>
      <c r="E167" s="149"/>
      <c r="F167" s="149"/>
      <c r="G167" s="149"/>
      <c r="H167" s="84"/>
      <c r="I167" s="77">
        <v>65.459999999999994</v>
      </c>
      <c r="J167" s="84"/>
      <c r="K167" s="84"/>
      <c r="L167" s="14"/>
      <c r="M167" s="17"/>
    </row>
    <row r="168" spans="1:64" x14ac:dyDescent="0.25">
      <c r="A168" s="17"/>
      <c r="C168" s="148" t="s">
        <v>603</v>
      </c>
      <c r="D168" s="149"/>
      <c r="E168" s="149"/>
      <c r="F168" s="149"/>
      <c r="G168" s="149"/>
      <c r="I168" s="77">
        <v>80.680000000000007</v>
      </c>
      <c r="L168" s="14"/>
      <c r="M168" s="17"/>
    </row>
    <row r="169" spans="1:64" x14ac:dyDescent="0.25">
      <c r="A169" s="17"/>
      <c r="C169" s="148" t="s">
        <v>604</v>
      </c>
      <c r="D169" s="149"/>
      <c r="E169" s="149"/>
      <c r="F169" s="149"/>
      <c r="G169" s="149"/>
      <c r="I169" s="77">
        <v>10.26</v>
      </c>
      <c r="L169" s="14"/>
      <c r="M169" s="17"/>
    </row>
    <row r="170" spans="1:64" x14ac:dyDescent="0.25">
      <c r="A170" s="17"/>
      <c r="C170" s="148" t="s">
        <v>605</v>
      </c>
      <c r="D170" s="149"/>
      <c r="E170" s="149"/>
      <c r="F170" s="149"/>
      <c r="G170" s="149"/>
      <c r="I170" s="77">
        <v>11.5</v>
      </c>
      <c r="L170" s="14"/>
      <c r="M170" s="17"/>
    </row>
    <row r="171" spans="1:64" x14ac:dyDescent="0.25">
      <c r="A171" s="33"/>
      <c r="B171" s="40" t="s">
        <v>307</v>
      </c>
      <c r="C171" s="144" t="s">
        <v>608</v>
      </c>
      <c r="D171" s="145"/>
      <c r="E171" s="145"/>
      <c r="F171" s="145"/>
      <c r="G171" s="145"/>
      <c r="H171" s="46" t="s">
        <v>58</v>
      </c>
      <c r="I171" s="46" t="s">
        <v>58</v>
      </c>
      <c r="J171" s="46" t="s">
        <v>58</v>
      </c>
      <c r="K171" s="65">
        <f>SUM(K172:K185)</f>
        <v>0</v>
      </c>
      <c r="L171" s="52"/>
      <c r="M171" s="17"/>
      <c r="AI171" s="56" t="s">
        <v>72</v>
      </c>
      <c r="AS171" s="65">
        <f>SUM(AJ172:AJ185)</f>
        <v>0</v>
      </c>
      <c r="AT171" s="65">
        <f>SUM(AK172:AK185)</f>
        <v>0</v>
      </c>
      <c r="AU171" s="65">
        <f>SUM(AL172:AL185)</f>
        <v>0</v>
      </c>
    </row>
    <row r="172" spans="1:64" x14ac:dyDescent="0.25">
      <c r="A172" s="34" t="s">
        <v>125</v>
      </c>
      <c r="B172" s="41" t="s">
        <v>308</v>
      </c>
      <c r="C172" s="146" t="s">
        <v>609</v>
      </c>
      <c r="D172" s="147"/>
      <c r="E172" s="147"/>
      <c r="F172" s="147"/>
      <c r="G172" s="147"/>
      <c r="H172" s="83" t="s">
        <v>891</v>
      </c>
      <c r="I172" s="76">
        <f>'Stavební rozpočet'!I172</f>
        <v>183.62</v>
      </c>
      <c r="J172" s="60"/>
      <c r="K172" s="60">
        <f>I172*J172</f>
        <v>0</v>
      </c>
      <c r="L172" s="53" t="s">
        <v>906</v>
      </c>
      <c r="M172" s="17"/>
      <c r="Z172" s="28">
        <f>IF(AQ172="5",BJ172,0)</f>
        <v>0</v>
      </c>
      <c r="AB172" s="28">
        <f>IF(AQ172="1",BH172,0)</f>
        <v>0</v>
      </c>
      <c r="AC172" s="28">
        <f>IF(AQ172="1",BI172,0)</f>
        <v>0</v>
      </c>
      <c r="AD172" s="28">
        <f>IF(AQ172="7",BH172,0)</f>
        <v>0</v>
      </c>
      <c r="AE172" s="28">
        <f>IF(AQ172="7",BI172,0)</f>
        <v>0</v>
      </c>
      <c r="AF172" s="28">
        <f>IF(AQ172="2",BH172,0)</f>
        <v>0</v>
      </c>
      <c r="AG172" s="28">
        <f>IF(AQ172="2",BI172,0)</f>
        <v>0</v>
      </c>
      <c r="AH172" s="28">
        <f>IF(AQ172="0",BJ172,0)</f>
        <v>0</v>
      </c>
      <c r="AI172" s="56" t="s">
        <v>72</v>
      </c>
      <c r="AJ172" s="60">
        <f>IF(AN172=0,K172,0)</f>
        <v>0</v>
      </c>
      <c r="AK172" s="60">
        <f>IF(AN172=15,K172,0)</f>
        <v>0</v>
      </c>
      <c r="AL172" s="60">
        <f>IF(AN172=21,K172,0)</f>
        <v>0</v>
      </c>
      <c r="AN172" s="28">
        <v>21</v>
      </c>
      <c r="AO172" s="28">
        <f>J172*0</f>
        <v>0</v>
      </c>
      <c r="AP172" s="28">
        <f>J172*(1-0)</f>
        <v>0</v>
      </c>
      <c r="AQ172" s="57" t="s">
        <v>88</v>
      </c>
      <c r="AV172" s="28">
        <f>AW172+AX172</f>
        <v>0</v>
      </c>
      <c r="AW172" s="28">
        <f>I172*AO172</f>
        <v>0</v>
      </c>
      <c r="AX172" s="28">
        <f>I172*AP172</f>
        <v>0</v>
      </c>
      <c r="AY172" s="59" t="s">
        <v>929</v>
      </c>
      <c r="AZ172" s="59" t="s">
        <v>958</v>
      </c>
      <c r="BA172" s="56" t="s">
        <v>966</v>
      </c>
      <c r="BC172" s="28">
        <f>AW172+AX172</f>
        <v>0</v>
      </c>
      <c r="BD172" s="28">
        <f>J172/(100-BE172)*100</f>
        <v>0</v>
      </c>
      <c r="BE172" s="28">
        <v>0</v>
      </c>
      <c r="BF172" s="28">
        <f>172</f>
        <v>172</v>
      </c>
      <c r="BH172" s="60">
        <f>I172*AO172</f>
        <v>0</v>
      </c>
      <c r="BI172" s="60">
        <f>I172*AP172</f>
        <v>0</v>
      </c>
      <c r="BJ172" s="60">
        <f>I172*J172</f>
        <v>0</v>
      </c>
      <c r="BK172" s="60" t="s">
        <v>971</v>
      </c>
      <c r="BL172" s="28">
        <v>713</v>
      </c>
    </row>
    <row r="173" spans="1:64" x14ac:dyDescent="0.25">
      <c r="A173" s="17"/>
      <c r="C173" s="148" t="s">
        <v>610</v>
      </c>
      <c r="D173" s="149"/>
      <c r="E173" s="149"/>
      <c r="F173" s="149"/>
      <c r="G173" s="149"/>
      <c r="H173" s="84"/>
      <c r="I173" s="77">
        <v>183.62</v>
      </c>
      <c r="J173" s="84"/>
      <c r="K173" s="84"/>
      <c r="L173" s="14"/>
      <c r="M173" s="17"/>
    </row>
    <row r="174" spans="1:64" x14ac:dyDescent="0.25">
      <c r="A174" s="34" t="s">
        <v>126</v>
      </c>
      <c r="B174" s="41" t="s">
        <v>309</v>
      </c>
      <c r="C174" s="146" t="s">
        <v>611</v>
      </c>
      <c r="D174" s="147"/>
      <c r="E174" s="147"/>
      <c r="F174" s="147"/>
      <c r="G174" s="147"/>
      <c r="H174" s="83" t="s">
        <v>891</v>
      </c>
      <c r="I174" s="76">
        <f>'Stavební rozpočet'!I174</f>
        <v>122.33</v>
      </c>
      <c r="J174" s="60"/>
      <c r="K174" s="60">
        <f>I174*J174</f>
        <v>0</v>
      </c>
      <c r="L174" s="53" t="s">
        <v>906</v>
      </c>
      <c r="M174" s="17"/>
      <c r="Z174" s="28">
        <f>IF(AQ174="5",BJ174,0)</f>
        <v>0</v>
      </c>
      <c r="AB174" s="28">
        <f>IF(AQ174="1",BH174,0)</f>
        <v>0</v>
      </c>
      <c r="AC174" s="28">
        <f>IF(AQ174="1",BI174,0)</f>
        <v>0</v>
      </c>
      <c r="AD174" s="28">
        <f>IF(AQ174="7",BH174,0)</f>
        <v>0</v>
      </c>
      <c r="AE174" s="28">
        <f>IF(AQ174="7",BI174,0)</f>
        <v>0</v>
      </c>
      <c r="AF174" s="28">
        <f>IF(AQ174="2",BH174,0)</f>
        <v>0</v>
      </c>
      <c r="AG174" s="28">
        <f>IF(AQ174="2",BI174,0)</f>
        <v>0</v>
      </c>
      <c r="AH174" s="28">
        <f>IF(AQ174="0",BJ174,0)</f>
        <v>0</v>
      </c>
      <c r="AI174" s="56" t="s">
        <v>72</v>
      </c>
      <c r="AJ174" s="60">
        <f>IF(AN174=0,K174,0)</f>
        <v>0</v>
      </c>
      <c r="AK174" s="60">
        <f>IF(AN174=15,K174,0)</f>
        <v>0</v>
      </c>
      <c r="AL174" s="60">
        <f>IF(AN174=21,K174,0)</f>
        <v>0</v>
      </c>
      <c r="AN174" s="28">
        <v>21</v>
      </c>
      <c r="AO174" s="28">
        <f>J174*0.835982654957005</f>
        <v>0</v>
      </c>
      <c r="AP174" s="28">
        <f>J174*(1-0.835982654957005)</f>
        <v>0</v>
      </c>
      <c r="AQ174" s="57" t="s">
        <v>88</v>
      </c>
      <c r="AV174" s="28">
        <f>AW174+AX174</f>
        <v>0</v>
      </c>
      <c r="AW174" s="28">
        <f>I174*AO174</f>
        <v>0</v>
      </c>
      <c r="AX174" s="28">
        <f>I174*AP174</f>
        <v>0</v>
      </c>
      <c r="AY174" s="59" t="s">
        <v>929</v>
      </c>
      <c r="AZ174" s="59" t="s">
        <v>958</v>
      </c>
      <c r="BA174" s="56" t="s">
        <v>966</v>
      </c>
      <c r="BC174" s="28">
        <f>AW174+AX174</f>
        <v>0</v>
      </c>
      <c r="BD174" s="28">
        <f>J174/(100-BE174)*100</f>
        <v>0</v>
      </c>
      <c r="BE174" s="28">
        <v>0</v>
      </c>
      <c r="BF174" s="28">
        <f>174</f>
        <v>174</v>
      </c>
      <c r="BH174" s="60">
        <f>I174*AO174</f>
        <v>0</v>
      </c>
      <c r="BI174" s="60">
        <f>I174*AP174</f>
        <v>0</v>
      </c>
      <c r="BJ174" s="60">
        <f>I174*J174</f>
        <v>0</v>
      </c>
      <c r="BK174" s="60" t="s">
        <v>971</v>
      </c>
      <c r="BL174" s="28">
        <v>713</v>
      </c>
    </row>
    <row r="175" spans="1:64" x14ac:dyDescent="0.25">
      <c r="A175" s="17"/>
      <c r="B175" s="42" t="s">
        <v>265</v>
      </c>
      <c r="C175" s="150" t="s">
        <v>612</v>
      </c>
      <c r="D175" s="151"/>
      <c r="E175" s="151"/>
      <c r="F175" s="151"/>
      <c r="G175" s="151"/>
      <c r="H175" s="151"/>
      <c r="I175" s="151"/>
      <c r="J175" s="151"/>
      <c r="K175" s="151"/>
      <c r="L175" s="152"/>
      <c r="M175" s="17"/>
    </row>
    <row r="176" spans="1:64" x14ac:dyDescent="0.25">
      <c r="A176" s="17"/>
      <c r="C176" s="148" t="s">
        <v>613</v>
      </c>
      <c r="D176" s="149"/>
      <c r="E176" s="149"/>
      <c r="F176" s="149"/>
      <c r="G176" s="149"/>
      <c r="H176" s="84"/>
      <c r="I176" s="77">
        <v>122.33</v>
      </c>
      <c r="J176" s="84"/>
      <c r="K176" s="84"/>
      <c r="L176" s="14"/>
      <c r="M176" s="17"/>
    </row>
    <row r="177" spans="1:64" x14ac:dyDescent="0.25">
      <c r="A177" s="34" t="s">
        <v>127</v>
      </c>
      <c r="B177" s="41" t="s">
        <v>310</v>
      </c>
      <c r="C177" s="146" t="s">
        <v>614</v>
      </c>
      <c r="D177" s="147"/>
      <c r="E177" s="147"/>
      <c r="F177" s="147"/>
      <c r="G177" s="147"/>
      <c r="H177" s="83" t="s">
        <v>891</v>
      </c>
      <c r="I177" s="76">
        <f>'Stavební rozpočet'!I177</f>
        <v>146.13999999999999</v>
      </c>
      <c r="J177" s="60"/>
      <c r="K177" s="60">
        <f>I177*J177</f>
        <v>0</v>
      </c>
      <c r="L177" s="53" t="s">
        <v>906</v>
      </c>
      <c r="M177" s="17"/>
      <c r="Z177" s="28">
        <f>IF(AQ177="5",BJ177,0)</f>
        <v>0</v>
      </c>
      <c r="AB177" s="28">
        <f>IF(AQ177="1",BH177,0)</f>
        <v>0</v>
      </c>
      <c r="AC177" s="28">
        <f>IF(AQ177="1",BI177,0)</f>
        <v>0</v>
      </c>
      <c r="AD177" s="28">
        <f>IF(AQ177="7",BH177,0)</f>
        <v>0</v>
      </c>
      <c r="AE177" s="28">
        <f>IF(AQ177="7",BI177,0)</f>
        <v>0</v>
      </c>
      <c r="AF177" s="28">
        <f>IF(AQ177="2",BH177,0)</f>
        <v>0</v>
      </c>
      <c r="AG177" s="28">
        <f>IF(AQ177="2",BI177,0)</f>
        <v>0</v>
      </c>
      <c r="AH177" s="28">
        <f>IF(AQ177="0",BJ177,0)</f>
        <v>0</v>
      </c>
      <c r="AI177" s="56" t="s">
        <v>72</v>
      </c>
      <c r="AJ177" s="60">
        <f>IF(AN177=0,K177,0)</f>
        <v>0</v>
      </c>
      <c r="AK177" s="60">
        <f>IF(AN177=15,K177,0)</f>
        <v>0</v>
      </c>
      <c r="AL177" s="60">
        <f>IF(AN177=21,K177,0)</f>
        <v>0</v>
      </c>
      <c r="AN177" s="28">
        <v>21</v>
      </c>
      <c r="AO177" s="28">
        <f>J177*0.863128918050451</f>
        <v>0</v>
      </c>
      <c r="AP177" s="28">
        <f>J177*(1-0.863128918050451)</f>
        <v>0</v>
      </c>
      <c r="AQ177" s="57" t="s">
        <v>88</v>
      </c>
      <c r="AV177" s="28">
        <f>AW177+AX177</f>
        <v>0</v>
      </c>
      <c r="AW177" s="28">
        <f>I177*AO177</f>
        <v>0</v>
      </c>
      <c r="AX177" s="28">
        <f>I177*AP177</f>
        <v>0</v>
      </c>
      <c r="AY177" s="59" t="s">
        <v>929</v>
      </c>
      <c r="AZ177" s="59" t="s">
        <v>958</v>
      </c>
      <c r="BA177" s="56" t="s">
        <v>966</v>
      </c>
      <c r="BC177" s="28">
        <f>AW177+AX177</f>
        <v>0</v>
      </c>
      <c r="BD177" s="28">
        <f>J177/(100-BE177)*100</f>
        <v>0</v>
      </c>
      <c r="BE177" s="28">
        <v>0</v>
      </c>
      <c r="BF177" s="28">
        <f>177</f>
        <v>177</v>
      </c>
      <c r="BH177" s="60">
        <f>I177*AO177</f>
        <v>0</v>
      </c>
      <c r="BI177" s="60">
        <f>I177*AP177</f>
        <v>0</v>
      </c>
      <c r="BJ177" s="60">
        <f>I177*J177</f>
        <v>0</v>
      </c>
      <c r="BK177" s="60" t="s">
        <v>971</v>
      </c>
      <c r="BL177" s="28">
        <v>713</v>
      </c>
    </row>
    <row r="178" spans="1:64" x14ac:dyDescent="0.25">
      <c r="A178" s="17"/>
      <c r="B178" s="42" t="s">
        <v>265</v>
      </c>
      <c r="C178" s="150" t="s">
        <v>615</v>
      </c>
      <c r="D178" s="151"/>
      <c r="E178" s="151"/>
      <c r="F178" s="151"/>
      <c r="G178" s="151"/>
      <c r="H178" s="151"/>
      <c r="I178" s="151"/>
      <c r="J178" s="151"/>
      <c r="K178" s="151"/>
      <c r="L178" s="152"/>
      <c r="M178" s="17"/>
    </row>
    <row r="179" spans="1:64" x14ac:dyDescent="0.25">
      <c r="A179" s="17"/>
      <c r="C179" s="148" t="s">
        <v>602</v>
      </c>
      <c r="D179" s="149"/>
      <c r="E179" s="149"/>
      <c r="F179" s="149"/>
      <c r="G179" s="149"/>
      <c r="H179" s="84"/>
      <c r="I179" s="77">
        <v>65.459999999999994</v>
      </c>
      <c r="J179" s="84"/>
      <c r="K179" s="84"/>
      <c r="L179" s="14"/>
      <c r="M179" s="17"/>
    </row>
    <row r="180" spans="1:64" x14ac:dyDescent="0.25">
      <c r="A180" s="17"/>
      <c r="C180" s="148" t="s">
        <v>603</v>
      </c>
      <c r="D180" s="149"/>
      <c r="E180" s="149"/>
      <c r="F180" s="149"/>
      <c r="G180" s="149"/>
      <c r="H180" s="84"/>
      <c r="I180" s="77">
        <v>80.680000000000007</v>
      </c>
      <c r="J180" s="84"/>
      <c r="K180" s="84"/>
      <c r="L180" s="14"/>
      <c r="M180" s="17"/>
    </row>
    <row r="181" spans="1:64" x14ac:dyDescent="0.25">
      <c r="A181" s="34" t="s">
        <v>128</v>
      </c>
      <c r="B181" s="41" t="s">
        <v>311</v>
      </c>
      <c r="C181" s="146" t="s">
        <v>616</v>
      </c>
      <c r="D181" s="147"/>
      <c r="E181" s="147"/>
      <c r="F181" s="147"/>
      <c r="G181" s="147"/>
      <c r="H181" s="83" t="s">
        <v>891</v>
      </c>
      <c r="I181" s="76">
        <f>'Stavební rozpočet'!I181</f>
        <v>220.643</v>
      </c>
      <c r="J181" s="60"/>
      <c r="K181" s="60">
        <f>I181*J181</f>
        <v>0</v>
      </c>
      <c r="L181" s="53" t="s">
        <v>906</v>
      </c>
      <c r="M181" s="17"/>
      <c r="Z181" s="28">
        <f>IF(AQ181="5",BJ181,0)</f>
        <v>0</v>
      </c>
      <c r="AB181" s="28">
        <f>IF(AQ181="1",BH181,0)</f>
        <v>0</v>
      </c>
      <c r="AC181" s="28">
        <f>IF(AQ181="1",BI181,0)</f>
        <v>0</v>
      </c>
      <c r="AD181" s="28">
        <f>IF(AQ181="7",BH181,0)</f>
        <v>0</v>
      </c>
      <c r="AE181" s="28">
        <f>IF(AQ181="7",BI181,0)</f>
        <v>0</v>
      </c>
      <c r="AF181" s="28">
        <f>IF(AQ181="2",BH181,0)</f>
        <v>0</v>
      </c>
      <c r="AG181" s="28">
        <f>IF(AQ181="2",BI181,0)</f>
        <v>0</v>
      </c>
      <c r="AH181" s="28">
        <f>IF(AQ181="0",BJ181,0)</f>
        <v>0</v>
      </c>
      <c r="AI181" s="56" t="s">
        <v>72</v>
      </c>
      <c r="AJ181" s="60">
        <f>IF(AN181=0,K181,0)</f>
        <v>0</v>
      </c>
      <c r="AK181" s="60">
        <f>IF(AN181=15,K181,0)</f>
        <v>0</v>
      </c>
      <c r="AL181" s="60">
        <f>IF(AN181=21,K181,0)</f>
        <v>0</v>
      </c>
      <c r="AN181" s="28">
        <v>21</v>
      </c>
      <c r="AO181" s="28">
        <f>J181*0.239500880225727</f>
        <v>0</v>
      </c>
      <c r="AP181" s="28">
        <f>J181*(1-0.239500880225727)</f>
        <v>0</v>
      </c>
      <c r="AQ181" s="57" t="s">
        <v>88</v>
      </c>
      <c r="AV181" s="28">
        <f>AW181+AX181</f>
        <v>0</v>
      </c>
      <c r="AW181" s="28">
        <f>I181*AO181</f>
        <v>0</v>
      </c>
      <c r="AX181" s="28">
        <f>I181*AP181</f>
        <v>0</v>
      </c>
      <c r="AY181" s="59" t="s">
        <v>929</v>
      </c>
      <c r="AZ181" s="59" t="s">
        <v>958</v>
      </c>
      <c r="BA181" s="56" t="s">
        <v>966</v>
      </c>
      <c r="BC181" s="28">
        <f>AW181+AX181</f>
        <v>0</v>
      </c>
      <c r="BD181" s="28">
        <f>J181/(100-BE181)*100</f>
        <v>0</v>
      </c>
      <c r="BE181" s="28">
        <v>0</v>
      </c>
      <c r="BF181" s="28">
        <f>181</f>
        <v>181</v>
      </c>
      <c r="BH181" s="60">
        <f>I181*AO181</f>
        <v>0</v>
      </c>
      <c r="BI181" s="60">
        <f>I181*AP181</f>
        <v>0</v>
      </c>
      <c r="BJ181" s="60">
        <f>I181*J181</f>
        <v>0</v>
      </c>
      <c r="BK181" s="60" t="s">
        <v>971</v>
      </c>
      <c r="BL181" s="28">
        <v>713</v>
      </c>
    </row>
    <row r="182" spans="1:64" x14ac:dyDescent="0.25">
      <c r="A182" s="17"/>
      <c r="B182" s="42" t="s">
        <v>265</v>
      </c>
      <c r="C182" s="150" t="s">
        <v>617</v>
      </c>
      <c r="D182" s="151"/>
      <c r="E182" s="151"/>
      <c r="F182" s="151"/>
      <c r="G182" s="151"/>
      <c r="H182" s="151"/>
      <c r="I182" s="151"/>
      <c r="J182" s="151"/>
      <c r="K182" s="151"/>
      <c r="L182" s="152"/>
      <c r="M182" s="17"/>
    </row>
    <row r="183" spans="1:64" x14ac:dyDescent="0.25">
      <c r="A183" s="17"/>
      <c r="C183" s="148" t="s">
        <v>618</v>
      </c>
      <c r="D183" s="149"/>
      <c r="E183" s="149"/>
      <c r="F183" s="149"/>
      <c r="G183" s="149"/>
      <c r="I183" s="77">
        <v>114.24299999999999</v>
      </c>
      <c r="L183" s="14"/>
      <c r="M183" s="17"/>
    </row>
    <row r="184" spans="1:64" x14ac:dyDescent="0.25">
      <c r="A184" s="17"/>
      <c r="C184" s="148" t="s">
        <v>619</v>
      </c>
      <c r="D184" s="149"/>
      <c r="E184" s="149"/>
      <c r="F184" s="149"/>
      <c r="G184" s="149"/>
      <c r="I184" s="77">
        <v>106.4</v>
      </c>
      <c r="L184" s="14"/>
      <c r="M184" s="17"/>
    </row>
    <row r="185" spans="1:64" x14ac:dyDescent="0.25">
      <c r="A185" s="34" t="s">
        <v>129</v>
      </c>
      <c r="B185" s="41" t="s">
        <v>312</v>
      </c>
      <c r="C185" s="146" t="s">
        <v>614</v>
      </c>
      <c r="D185" s="147"/>
      <c r="E185" s="147"/>
      <c r="F185" s="147"/>
      <c r="G185" s="147"/>
      <c r="H185" s="41" t="s">
        <v>891</v>
      </c>
      <c r="I185" s="76">
        <f>'Stavební rozpočet'!I185</f>
        <v>21.76</v>
      </c>
      <c r="J185" s="60"/>
      <c r="K185" s="60">
        <f>I185*J185</f>
        <v>0</v>
      </c>
      <c r="L185" s="53" t="s">
        <v>906</v>
      </c>
      <c r="M185" s="17"/>
      <c r="Z185" s="28">
        <f>IF(AQ185="5",BJ185,0)</f>
        <v>0</v>
      </c>
      <c r="AB185" s="28">
        <f>IF(AQ185="1",BH185,0)</f>
        <v>0</v>
      </c>
      <c r="AC185" s="28">
        <f>IF(AQ185="1",BI185,0)</f>
        <v>0</v>
      </c>
      <c r="AD185" s="28">
        <f>IF(AQ185="7",BH185,0)</f>
        <v>0</v>
      </c>
      <c r="AE185" s="28">
        <f>IF(AQ185="7",BI185,0)</f>
        <v>0</v>
      </c>
      <c r="AF185" s="28">
        <f>IF(AQ185="2",BH185,0)</f>
        <v>0</v>
      </c>
      <c r="AG185" s="28">
        <f>IF(AQ185="2",BI185,0)</f>
        <v>0</v>
      </c>
      <c r="AH185" s="28">
        <f>IF(AQ185="0",BJ185,0)</f>
        <v>0</v>
      </c>
      <c r="AI185" s="56" t="s">
        <v>72</v>
      </c>
      <c r="AJ185" s="60">
        <f>IF(AN185=0,K185,0)</f>
        <v>0</v>
      </c>
      <c r="AK185" s="60">
        <f>IF(AN185=15,K185,0)</f>
        <v>0</v>
      </c>
      <c r="AL185" s="60">
        <f>IF(AN185=21,K185,0)</f>
        <v>0</v>
      </c>
      <c r="AN185" s="28">
        <v>21</v>
      </c>
      <c r="AO185" s="28">
        <f>J185*0.852187491277389</f>
        <v>0</v>
      </c>
      <c r="AP185" s="28">
        <f>J185*(1-0.852187491277389)</f>
        <v>0</v>
      </c>
      <c r="AQ185" s="57" t="s">
        <v>88</v>
      </c>
      <c r="AV185" s="28">
        <f>AW185+AX185</f>
        <v>0</v>
      </c>
      <c r="AW185" s="28">
        <f>I185*AO185</f>
        <v>0</v>
      </c>
      <c r="AX185" s="28">
        <f>I185*AP185</f>
        <v>0</v>
      </c>
      <c r="AY185" s="59" t="s">
        <v>929</v>
      </c>
      <c r="AZ185" s="59" t="s">
        <v>958</v>
      </c>
      <c r="BA185" s="56" t="s">
        <v>966</v>
      </c>
      <c r="BC185" s="28">
        <f>AW185+AX185</f>
        <v>0</v>
      </c>
      <c r="BD185" s="28">
        <f>J185/(100-BE185)*100</f>
        <v>0</v>
      </c>
      <c r="BE185" s="28">
        <v>0</v>
      </c>
      <c r="BF185" s="28">
        <f>185</f>
        <v>185</v>
      </c>
      <c r="BH185" s="60">
        <f>I185*AO185</f>
        <v>0</v>
      </c>
      <c r="BI185" s="60">
        <f>I185*AP185</f>
        <v>0</v>
      </c>
      <c r="BJ185" s="60">
        <f>I185*J185</f>
        <v>0</v>
      </c>
      <c r="BK185" s="60" t="s">
        <v>971</v>
      </c>
      <c r="BL185" s="28">
        <v>713</v>
      </c>
    </row>
    <row r="186" spans="1:64" x14ac:dyDescent="0.25">
      <c r="A186" s="17"/>
      <c r="B186" s="42" t="s">
        <v>265</v>
      </c>
      <c r="C186" s="150" t="s">
        <v>620</v>
      </c>
      <c r="D186" s="151"/>
      <c r="E186" s="151"/>
      <c r="F186" s="151"/>
      <c r="G186" s="151"/>
      <c r="H186" s="151"/>
      <c r="I186" s="151"/>
      <c r="J186" s="151"/>
      <c r="K186" s="151"/>
      <c r="L186" s="152"/>
      <c r="M186" s="17"/>
    </row>
    <row r="187" spans="1:64" x14ac:dyDescent="0.25">
      <c r="A187" s="17"/>
      <c r="C187" s="148" t="s">
        <v>621</v>
      </c>
      <c r="D187" s="149"/>
      <c r="E187" s="149"/>
      <c r="F187" s="149"/>
      <c r="G187" s="149"/>
      <c r="I187" s="77">
        <v>10.26</v>
      </c>
      <c r="L187" s="14"/>
      <c r="M187" s="17"/>
    </row>
    <row r="188" spans="1:64" x14ac:dyDescent="0.25">
      <c r="A188" s="17"/>
      <c r="C188" s="148" t="s">
        <v>622</v>
      </c>
      <c r="D188" s="149"/>
      <c r="E188" s="149"/>
      <c r="F188" s="149"/>
      <c r="G188" s="149"/>
      <c r="I188" s="77">
        <v>11.5</v>
      </c>
      <c r="L188" s="14"/>
      <c r="M188" s="17"/>
    </row>
    <row r="189" spans="1:64" x14ac:dyDescent="0.25">
      <c r="A189" s="33"/>
      <c r="B189" s="40" t="s">
        <v>313</v>
      </c>
      <c r="C189" s="144" t="s">
        <v>623</v>
      </c>
      <c r="D189" s="145"/>
      <c r="E189" s="145"/>
      <c r="F189" s="145"/>
      <c r="G189" s="145"/>
      <c r="H189" s="46" t="s">
        <v>58</v>
      </c>
      <c r="I189" s="46" t="s">
        <v>58</v>
      </c>
      <c r="J189" s="46" t="s">
        <v>58</v>
      </c>
      <c r="K189" s="65">
        <f>SUM(K190:K203)</f>
        <v>0</v>
      </c>
      <c r="L189" s="52"/>
      <c r="M189" s="17"/>
      <c r="AI189" s="56" t="s">
        <v>72</v>
      </c>
      <c r="AS189" s="65">
        <f>SUM(AJ190:AJ203)</f>
        <v>0</v>
      </c>
      <c r="AT189" s="65">
        <f>SUM(AK190:AK203)</f>
        <v>0</v>
      </c>
      <c r="AU189" s="65">
        <f>SUM(AL190:AL203)</f>
        <v>0</v>
      </c>
    </row>
    <row r="190" spans="1:64" x14ac:dyDescent="0.25">
      <c r="A190" s="34" t="s">
        <v>130</v>
      </c>
      <c r="B190" s="41" t="s">
        <v>314</v>
      </c>
      <c r="C190" s="146" t="s">
        <v>624</v>
      </c>
      <c r="D190" s="147"/>
      <c r="E190" s="147"/>
      <c r="F190" s="147"/>
      <c r="G190" s="147"/>
      <c r="H190" s="83" t="s">
        <v>894</v>
      </c>
      <c r="I190" s="76">
        <f>'Stavební rozpočet'!I190</f>
        <v>5</v>
      </c>
      <c r="J190" s="60"/>
      <c r="K190" s="60">
        <f>I190*J190</f>
        <v>0</v>
      </c>
      <c r="L190" s="53" t="s">
        <v>906</v>
      </c>
      <c r="M190" s="17"/>
      <c r="Z190" s="28">
        <f>IF(AQ190="5",BJ190,0)</f>
        <v>0</v>
      </c>
      <c r="AB190" s="28">
        <f>IF(AQ190="1",BH190,0)</f>
        <v>0</v>
      </c>
      <c r="AC190" s="28">
        <f>IF(AQ190="1",BI190,0)</f>
        <v>0</v>
      </c>
      <c r="AD190" s="28">
        <f>IF(AQ190="7",BH190,0)</f>
        <v>0</v>
      </c>
      <c r="AE190" s="28">
        <f>IF(AQ190="7",BI190,0)</f>
        <v>0</v>
      </c>
      <c r="AF190" s="28">
        <f>IF(AQ190="2",BH190,0)</f>
        <v>0</v>
      </c>
      <c r="AG190" s="28">
        <f>IF(AQ190="2",BI190,0)</f>
        <v>0</v>
      </c>
      <c r="AH190" s="28">
        <f>IF(AQ190="0",BJ190,0)</f>
        <v>0</v>
      </c>
      <c r="AI190" s="56" t="s">
        <v>72</v>
      </c>
      <c r="AJ190" s="60">
        <f>IF(AN190=0,K190,0)</f>
        <v>0</v>
      </c>
      <c r="AK190" s="60">
        <f>IF(AN190=15,K190,0)</f>
        <v>0</v>
      </c>
      <c r="AL190" s="60">
        <f>IF(AN190=21,K190,0)</f>
        <v>0</v>
      </c>
      <c r="AN190" s="28">
        <v>21</v>
      </c>
      <c r="AO190" s="28">
        <f>J190*0.935193075898802</f>
        <v>0</v>
      </c>
      <c r="AP190" s="28">
        <f>J190*(1-0.935193075898802)</f>
        <v>0</v>
      </c>
      <c r="AQ190" s="57" t="s">
        <v>88</v>
      </c>
      <c r="AV190" s="28">
        <f>AW190+AX190</f>
        <v>0</v>
      </c>
      <c r="AW190" s="28">
        <f>I190*AO190</f>
        <v>0</v>
      </c>
      <c r="AX190" s="28">
        <f>I190*AP190</f>
        <v>0</v>
      </c>
      <c r="AY190" s="59" t="s">
        <v>930</v>
      </c>
      <c r="AZ190" s="59" t="s">
        <v>959</v>
      </c>
      <c r="BA190" s="56" t="s">
        <v>966</v>
      </c>
      <c r="BC190" s="28">
        <f>AW190+AX190</f>
        <v>0</v>
      </c>
      <c r="BD190" s="28">
        <f>J190/(100-BE190)*100</f>
        <v>0</v>
      </c>
      <c r="BE190" s="28">
        <v>0</v>
      </c>
      <c r="BF190" s="28">
        <f>190</f>
        <v>190</v>
      </c>
      <c r="BH190" s="60">
        <f>I190*AO190</f>
        <v>0</v>
      </c>
      <c r="BI190" s="60">
        <f>I190*AP190</f>
        <v>0</v>
      </c>
      <c r="BJ190" s="60">
        <f>I190*J190</f>
        <v>0</v>
      </c>
      <c r="BK190" s="60" t="s">
        <v>971</v>
      </c>
      <c r="BL190" s="28">
        <v>721</v>
      </c>
    </row>
    <row r="191" spans="1:64" x14ac:dyDescent="0.25">
      <c r="A191" s="17"/>
      <c r="B191" s="42" t="s">
        <v>265</v>
      </c>
      <c r="C191" s="150" t="s">
        <v>625</v>
      </c>
      <c r="D191" s="151"/>
      <c r="E191" s="151"/>
      <c r="F191" s="151"/>
      <c r="G191" s="151"/>
      <c r="H191" s="151"/>
      <c r="I191" s="151"/>
      <c r="J191" s="151"/>
      <c r="K191" s="151"/>
      <c r="L191" s="152"/>
      <c r="M191" s="17"/>
    </row>
    <row r="192" spans="1:64" x14ac:dyDescent="0.25">
      <c r="A192" s="17"/>
      <c r="C192" s="148" t="s">
        <v>626</v>
      </c>
      <c r="D192" s="149"/>
      <c r="E192" s="149"/>
      <c r="F192" s="149"/>
      <c r="G192" s="149"/>
      <c r="H192" s="84"/>
      <c r="I192" s="77">
        <v>4</v>
      </c>
      <c r="J192" s="84"/>
      <c r="K192" s="84"/>
      <c r="L192" s="14"/>
      <c r="M192" s="17"/>
    </row>
    <row r="193" spans="1:64" x14ac:dyDescent="0.25">
      <c r="A193" s="17"/>
      <c r="C193" s="148" t="s">
        <v>627</v>
      </c>
      <c r="D193" s="149"/>
      <c r="E193" s="149"/>
      <c r="F193" s="149"/>
      <c r="G193" s="149"/>
      <c r="H193" s="84"/>
      <c r="I193" s="77">
        <v>1</v>
      </c>
      <c r="J193" s="84"/>
      <c r="K193" s="84"/>
      <c r="L193" s="14"/>
      <c r="M193" s="17"/>
    </row>
    <row r="194" spans="1:64" x14ac:dyDescent="0.25">
      <c r="A194" s="34" t="s">
        <v>131</v>
      </c>
      <c r="B194" s="41" t="s">
        <v>315</v>
      </c>
      <c r="C194" s="146" t="s">
        <v>628</v>
      </c>
      <c r="D194" s="147"/>
      <c r="E194" s="147"/>
      <c r="F194" s="147"/>
      <c r="G194" s="147"/>
      <c r="H194" s="83" t="s">
        <v>895</v>
      </c>
      <c r="I194" s="76">
        <f>'Stavební rozpočet'!I194</f>
        <v>22</v>
      </c>
      <c r="J194" s="60"/>
      <c r="K194" s="60">
        <f>I194*J194</f>
        <v>0</v>
      </c>
      <c r="L194" s="53" t="s">
        <v>906</v>
      </c>
      <c r="M194" s="17"/>
      <c r="Z194" s="28">
        <f>IF(AQ194="5",BJ194,0)</f>
        <v>0</v>
      </c>
      <c r="AB194" s="28">
        <f>IF(AQ194="1",BH194,0)</f>
        <v>0</v>
      </c>
      <c r="AC194" s="28">
        <f>IF(AQ194="1",BI194,0)</f>
        <v>0</v>
      </c>
      <c r="AD194" s="28">
        <f>IF(AQ194="7",BH194,0)</f>
        <v>0</v>
      </c>
      <c r="AE194" s="28">
        <f>IF(AQ194="7",BI194,0)</f>
        <v>0</v>
      </c>
      <c r="AF194" s="28">
        <f>IF(AQ194="2",BH194,0)</f>
        <v>0</v>
      </c>
      <c r="AG194" s="28">
        <f>IF(AQ194="2",BI194,0)</f>
        <v>0</v>
      </c>
      <c r="AH194" s="28">
        <f>IF(AQ194="0",BJ194,0)</f>
        <v>0</v>
      </c>
      <c r="AI194" s="56" t="s">
        <v>72</v>
      </c>
      <c r="AJ194" s="60">
        <f>IF(AN194=0,K194,0)</f>
        <v>0</v>
      </c>
      <c r="AK194" s="60">
        <f>IF(AN194=15,K194,0)</f>
        <v>0</v>
      </c>
      <c r="AL194" s="60">
        <f>IF(AN194=21,K194,0)</f>
        <v>0</v>
      </c>
      <c r="AN194" s="28">
        <v>21</v>
      </c>
      <c r="AO194" s="28">
        <f>J194*0.6147</f>
        <v>0</v>
      </c>
      <c r="AP194" s="28">
        <f>J194*(1-0.6147)</f>
        <v>0</v>
      </c>
      <c r="AQ194" s="57" t="s">
        <v>88</v>
      </c>
      <c r="AV194" s="28">
        <f>AW194+AX194</f>
        <v>0</v>
      </c>
      <c r="AW194" s="28">
        <f>I194*AO194</f>
        <v>0</v>
      </c>
      <c r="AX194" s="28">
        <f>I194*AP194</f>
        <v>0</v>
      </c>
      <c r="AY194" s="59" t="s">
        <v>930</v>
      </c>
      <c r="AZ194" s="59" t="s">
        <v>959</v>
      </c>
      <c r="BA194" s="56" t="s">
        <v>966</v>
      </c>
      <c r="BC194" s="28">
        <f>AW194+AX194</f>
        <v>0</v>
      </c>
      <c r="BD194" s="28">
        <f>J194/(100-BE194)*100</f>
        <v>0</v>
      </c>
      <c r="BE194" s="28">
        <v>0</v>
      </c>
      <c r="BF194" s="28">
        <f>194</f>
        <v>194</v>
      </c>
      <c r="BH194" s="60">
        <f>I194*AO194</f>
        <v>0</v>
      </c>
      <c r="BI194" s="60">
        <f>I194*AP194</f>
        <v>0</v>
      </c>
      <c r="BJ194" s="60">
        <f>I194*J194</f>
        <v>0</v>
      </c>
      <c r="BK194" s="60" t="s">
        <v>971</v>
      </c>
      <c r="BL194" s="28">
        <v>721</v>
      </c>
    </row>
    <row r="195" spans="1:64" x14ac:dyDescent="0.25">
      <c r="A195" s="17"/>
      <c r="C195" s="148" t="s">
        <v>629</v>
      </c>
      <c r="D195" s="149"/>
      <c r="E195" s="149"/>
      <c r="F195" s="149"/>
      <c r="G195" s="149"/>
      <c r="H195" s="84"/>
      <c r="I195" s="77">
        <v>22</v>
      </c>
      <c r="J195" s="84"/>
      <c r="K195" s="84"/>
      <c r="L195" s="14"/>
      <c r="M195" s="17"/>
    </row>
    <row r="196" spans="1:64" x14ac:dyDescent="0.25">
      <c r="A196" s="34" t="s">
        <v>132</v>
      </c>
      <c r="B196" s="41" t="s">
        <v>316</v>
      </c>
      <c r="C196" s="146" t="s">
        <v>630</v>
      </c>
      <c r="D196" s="147"/>
      <c r="E196" s="147"/>
      <c r="F196" s="147"/>
      <c r="G196" s="147"/>
      <c r="H196" s="83" t="s">
        <v>895</v>
      </c>
      <c r="I196" s="76">
        <f>'Stavební rozpočet'!I196</f>
        <v>5.5</v>
      </c>
      <c r="J196" s="60"/>
      <c r="K196" s="60">
        <f>I196*J196</f>
        <v>0</v>
      </c>
      <c r="L196" s="53" t="s">
        <v>906</v>
      </c>
      <c r="M196" s="17"/>
      <c r="Z196" s="28">
        <f>IF(AQ196="5",BJ196,0)</f>
        <v>0</v>
      </c>
      <c r="AB196" s="28">
        <f>IF(AQ196="1",BH196,0)</f>
        <v>0</v>
      </c>
      <c r="AC196" s="28">
        <f>IF(AQ196="1",BI196,0)</f>
        <v>0</v>
      </c>
      <c r="AD196" s="28">
        <f>IF(AQ196="7",BH196,0)</f>
        <v>0</v>
      </c>
      <c r="AE196" s="28">
        <f>IF(AQ196="7",BI196,0)</f>
        <v>0</v>
      </c>
      <c r="AF196" s="28">
        <f>IF(AQ196="2",BH196,0)</f>
        <v>0</v>
      </c>
      <c r="AG196" s="28">
        <f>IF(AQ196="2",BI196,0)</f>
        <v>0</v>
      </c>
      <c r="AH196" s="28">
        <f>IF(AQ196="0",BJ196,0)</f>
        <v>0</v>
      </c>
      <c r="AI196" s="56" t="s">
        <v>72</v>
      </c>
      <c r="AJ196" s="60">
        <f>IF(AN196=0,K196,0)</f>
        <v>0</v>
      </c>
      <c r="AK196" s="60">
        <f>IF(AN196=15,K196,0)</f>
        <v>0</v>
      </c>
      <c r="AL196" s="60">
        <f>IF(AN196=21,K196,0)</f>
        <v>0</v>
      </c>
      <c r="AN196" s="28">
        <v>21</v>
      </c>
      <c r="AO196" s="28">
        <f>J196*0.681175567670566</f>
        <v>0</v>
      </c>
      <c r="AP196" s="28">
        <f>J196*(1-0.681175567670566)</f>
        <v>0</v>
      </c>
      <c r="AQ196" s="57" t="s">
        <v>88</v>
      </c>
      <c r="AV196" s="28">
        <f>AW196+AX196</f>
        <v>0</v>
      </c>
      <c r="AW196" s="28">
        <f>I196*AO196</f>
        <v>0</v>
      </c>
      <c r="AX196" s="28">
        <f>I196*AP196</f>
        <v>0</v>
      </c>
      <c r="AY196" s="59" t="s">
        <v>930</v>
      </c>
      <c r="AZ196" s="59" t="s">
        <v>959</v>
      </c>
      <c r="BA196" s="56" t="s">
        <v>966</v>
      </c>
      <c r="BC196" s="28">
        <f>AW196+AX196</f>
        <v>0</v>
      </c>
      <c r="BD196" s="28">
        <f>J196/(100-BE196)*100</f>
        <v>0</v>
      </c>
      <c r="BE196" s="28">
        <v>0</v>
      </c>
      <c r="BF196" s="28">
        <f>196</f>
        <v>196</v>
      </c>
      <c r="BH196" s="60">
        <f>I196*AO196</f>
        <v>0</v>
      </c>
      <c r="BI196" s="60">
        <f>I196*AP196</f>
        <v>0</v>
      </c>
      <c r="BJ196" s="60">
        <f>I196*J196</f>
        <v>0</v>
      </c>
      <c r="BK196" s="60" t="s">
        <v>971</v>
      </c>
      <c r="BL196" s="28">
        <v>721</v>
      </c>
    </row>
    <row r="197" spans="1:64" x14ac:dyDescent="0.25">
      <c r="A197" s="17"/>
      <c r="C197" s="148" t="s">
        <v>631</v>
      </c>
      <c r="D197" s="149"/>
      <c r="E197" s="149"/>
      <c r="F197" s="149"/>
      <c r="G197" s="149"/>
      <c r="H197" s="84"/>
      <c r="I197" s="77">
        <v>5.5</v>
      </c>
      <c r="J197" s="84"/>
      <c r="K197" s="84"/>
      <c r="L197" s="14"/>
      <c r="M197" s="17"/>
    </row>
    <row r="198" spans="1:64" x14ac:dyDescent="0.25">
      <c r="A198" s="34" t="s">
        <v>133</v>
      </c>
      <c r="B198" s="41" t="s">
        <v>317</v>
      </c>
      <c r="C198" s="146" t="s">
        <v>632</v>
      </c>
      <c r="D198" s="147"/>
      <c r="E198" s="147"/>
      <c r="F198" s="147"/>
      <c r="G198" s="147"/>
      <c r="H198" s="83" t="s">
        <v>895</v>
      </c>
      <c r="I198" s="76">
        <f>'Stavební rozpočet'!I198</f>
        <v>12</v>
      </c>
      <c r="J198" s="60"/>
      <c r="K198" s="60">
        <f>I198*J198</f>
        <v>0</v>
      </c>
      <c r="L198" s="53" t="s">
        <v>906</v>
      </c>
      <c r="M198" s="17"/>
      <c r="Z198" s="28">
        <f>IF(AQ198="5",BJ198,0)</f>
        <v>0</v>
      </c>
      <c r="AB198" s="28">
        <f>IF(AQ198="1",BH198,0)</f>
        <v>0</v>
      </c>
      <c r="AC198" s="28">
        <f>IF(AQ198="1",BI198,0)</f>
        <v>0</v>
      </c>
      <c r="AD198" s="28">
        <f>IF(AQ198="7",BH198,0)</f>
        <v>0</v>
      </c>
      <c r="AE198" s="28">
        <f>IF(AQ198="7",BI198,0)</f>
        <v>0</v>
      </c>
      <c r="AF198" s="28">
        <f>IF(AQ198="2",BH198,0)</f>
        <v>0</v>
      </c>
      <c r="AG198" s="28">
        <f>IF(AQ198="2",BI198,0)</f>
        <v>0</v>
      </c>
      <c r="AH198" s="28">
        <f>IF(AQ198="0",BJ198,0)</f>
        <v>0</v>
      </c>
      <c r="AI198" s="56" t="s">
        <v>72</v>
      </c>
      <c r="AJ198" s="60">
        <f>IF(AN198=0,K198,0)</f>
        <v>0</v>
      </c>
      <c r="AK198" s="60">
        <f>IF(AN198=15,K198,0)</f>
        <v>0</v>
      </c>
      <c r="AL198" s="60">
        <f>IF(AN198=21,K198,0)</f>
        <v>0</v>
      </c>
      <c r="AN198" s="28">
        <v>21</v>
      </c>
      <c r="AO198" s="28">
        <f>J198*0.590057430007179</f>
        <v>0</v>
      </c>
      <c r="AP198" s="28">
        <f>J198*(1-0.590057430007179)</f>
        <v>0</v>
      </c>
      <c r="AQ198" s="57" t="s">
        <v>88</v>
      </c>
      <c r="AV198" s="28">
        <f>AW198+AX198</f>
        <v>0</v>
      </c>
      <c r="AW198" s="28">
        <f>I198*AO198</f>
        <v>0</v>
      </c>
      <c r="AX198" s="28">
        <f>I198*AP198</f>
        <v>0</v>
      </c>
      <c r="AY198" s="59" t="s">
        <v>930</v>
      </c>
      <c r="AZ198" s="59" t="s">
        <v>959</v>
      </c>
      <c r="BA198" s="56" t="s">
        <v>966</v>
      </c>
      <c r="BC198" s="28">
        <f>AW198+AX198</f>
        <v>0</v>
      </c>
      <c r="BD198" s="28">
        <f>J198/(100-BE198)*100</f>
        <v>0</v>
      </c>
      <c r="BE198" s="28">
        <v>0</v>
      </c>
      <c r="BF198" s="28">
        <f>198</f>
        <v>198</v>
      </c>
      <c r="BH198" s="60">
        <f>I198*AO198</f>
        <v>0</v>
      </c>
      <c r="BI198" s="60">
        <f>I198*AP198</f>
        <v>0</v>
      </c>
      <c r="BJ198" s="60">
        <f>I198*J198</f>
        <v>0</v>
      </c>
      <c r="BK198" s="60" t="s">
        <v>971</v>
      </c>
      <c r="BL198" s="28">
        <v>721</v>
      </c>
    </row>
    <row r="199" spans="1:64" x14ac:dyDescent="0.25">
      <c r="A199" s="17"/>
      <c r="C199" s="148" t="s">
        <v>633</v>
      </c>
      <c r="D199" s="149"/>
      <c r="E199" s="149"/>
      <c r="F199" s="149"/>
      <c r="G199" s="149"/>
      <c r="H199" s="84"/>
      <c r="I199" s="77">
        <v>12</v>
      </c>
      <c r="J199" s="84"/>
      <c r="K199" s="84"/>
      <c r="L199" s="14"/>
      <c r="M199" s="17"/>
    </row>
    <row r="200" spans="1:64" x14ac:dyDescent="0.25">
      <c r="A200" s="34" t="s">
        <v>134</v>
      </c>
      <c r="B200" s="41" t="s">
        <v>318</v>
      </c>
      <c r="C200" s="146" t="s">
        <v>634</v>
      </c>
      <c r="D200" s="147"/>
      <c r="E200" s="147"/>
      <c r="F200" s="147"/>
      <c r="G200" s="147"/>
      <c r="H200" s="83" t="s">
        <v>895</v>
      </c>
      <c r="I200" s="76">
        <f>'Stavební rozpočet'!I200</f>
        <v>39.5</v>
      </c>
      <c r="J200" s="60"/>
      <c r="K200" s="60">
        <f>I200*J200</f>
        <v>0</v>
      </c>
      <c r="L200" s="53" t="s">
        <v>906</v>
      </c>
      <c r="M200" s="17"/>
      <c r="Z200" s="28">
        <f>IF(AQ200="5",BJ200,0)</f>
        <v>0</v>
      </c>
      <c r="AB200" s="28">
        <f>IF(AQ200="1",BH200,0)</f>
        <v>0</v>
      </c>
      <c r="AC200" s="28">
        <f>IF(AQ200="1",BI200,0)</f>
        <v>0</v>
      </c>
      <c r="AD200" s="28">
        <f>IF(AQ200="7",BH200,0)</f>
        <v>0</v>
      </c>
      <c r="AE200" s="28">
        <f>IF(AQ200="7",BI200,0)</f>
        <v>0</v>
      </c>
      <c r="AF200" s="28">
        <f>IF(AQ200="2",BH200,0)</f>
        <v>0</v>
      </c>
      <c r="AG200" s="28">
        <f>IF(AQ200="2",BI200,0)</f>
        <v>0</v>
      </c>
      <c r="AH200" s="28">
        <f>IF(AQ200="0",BJ200,0)</f>
        <v>0</v>
      </c>
      <c r="AI200" s="56" t="s">
        <v>72</v>
      </c>
      <c r="AJ200" s="60">
        <f>IF(AN200=0,K200,0)</f>
        <v>0</v>
      </c>
      <c r="AK200" s="60">
        <f>IF(AN200=15,K200,0)</f>
        <v>0</v>
      </c>
      <c r="AL200" s="60">
        <f>IF(AN200=21,K200,0)</f>
        <v>0</v>
      </c>
      <c r="AN200" s="28">
        <v>21</v>
      </c>
      <c r="AO200" s="28">
        <f>J200*0.0270947657239341</f>
        <v>0</v>
      </c>
      <c r="AP200" s="28">
        <f>J200*(1-0.0270947657239341)</f>
        <v>0</v>
      </c>
      <c r="AQ200" s="57" t="s">
        <v>88</v>
      </c>
      <c r="AV200" s="28">
        <f>AW200+AX200</f>
        <v>0</v>
      </c>
      <c r="AW200" s="28">
        <f>I200*AO200</f>
        <v>0</v>
      </c>
      <c r="AX200" s="28">
        <f>I200*AP200</f>
        <v>0</v>
      </c>
      <c r="AY200" s="59" t="s">
        <v>930</v>
      </c>
      <c r="AZ200" s="59" t="s">
        <v>959</v>
      </c>
      <c r="BA200" s="56" t="s">
        <v>966</v>
      </c>
      <c r="BC200" s="28">
        <f>AW200+AX200</f>
        <v>0</v>
      </c>
      <c r="BD200" s="28">
        <f>J200/(100-BE200)*100</f>
        <v>0</v>
      </c>
      <c r="BE200" s="28">
        <v>0</v>
      </c>
      <c r="BF200" s="28">
        <f>200</f>
        <v>200</v>
      </c>
      <c r="BH200" s="60">
        <f>I200*AO200</f>
        <v>0</v>
      </c>
      <c r="BI200" s="60">
        <f>I200*AP200</f>
        <v>0</v>
      </c>
      <c r="BJ200" s="60">
        <f>I200*J200</f>
        <v>0</v>
      </c>
      <c r="BK200" s="60" t="s">
        <v>971</v>
      </c>
      <c r="BL200" s="28">
        <v>721</v>
      </c>
    </row>
    <row r="201" spans="1:64" x14ac:dyDescent="0.25">
      <c r="A201" s="17"/>
      <c r="C201" s="148" t="s">
        <v>635</v>
      </c>
      <c r="D201" s="149"/>
      <c r="E201" s="149"/>
      <c r="F201" s="149"/>
      <c r="G201" s="149"/>
      <c r="H201" s="84"/>
      <c r="I201" s="77">
        <v>39.5</v>
      </c>
      <c r="J201" s="84"/>
      <c r="K201" s="84"/>
      <c r="L201" s="14"/>
      <c r="M201" s="17"/>
    </row>
    <row r="202" spans="1:64" x14ac:dyDescent="0.25">
      <c r="A202" s="34" t="s">
        <v>135</v>
      </c>
      <c r="B202" s="41" t="s">
        <v>319</v>
      </c>
      <c r="C202" s="146" t="s">
        <v>636</v>
      </c>
      <c r="D202" s="147"/>
      <c r="E202" s="147"/>
      <c r="F202" s="147"/>
      <c r="G202" s="147"/>
      <c r="H202" s="83" t="s">
        <v>895</v>
      </c>
      <c r="I202" s="76">
        <f>'Stavební rozpočet'!I202</f>
        <v>0.5</v>
      </c>
      <c r="J202" s="60"/>
      <c r="K202" s="60">
        <f>I202*J202</f>
        <v>0</v>
      </c>
      <c r="L202" s="53" t="s">
        <v>906</v>
      </c>
      <c r="M202" s="17"/>
      <c r="Z202" s="28">
        <f>IF(AQ202="5",BJ202,0)</f>
        <v>0</v>
      </c>
      <c r="AB202" s="28">
        <f>IF(AQ202="1",BH202,0)</f>
        <v>0</v>
      </c>
      <c r="AC202" s="28">
        <f>IF(AQ202="1",BI202,0)</f>
        <v>0</v>
      </c>
      <c r="AD202" s="28">
        <f>IF(AQ202="7",BH202,0)</f>
        <v>0</v>
      </c>
      <c r="AE202" s="28">
        <f>IF(AQ202="7",BI202,0)</f>
        <v>0</v>
      </c>
      <c r="AF202" s="28">
        <f>IF(AQ202="2",BH202,0)</f>
        <v>0</v>
      </c>
      <c r="AG202" s="28">
        <f>IF(AQ202="2",BI202,0)</f>
        <v>0</v>
      </c>
      <c r="AH202" s="28">
        <f>IF(AQ202="0",BJ202,0)</f>
        <v>0</v>
      </c>
      <c r="AI202" s="56" t="s">
        <v>72</v>
      </c>
      <c r="AJ202" s="60">
        <f>IF(AN202=0,K202,0)</f>
        <v>0</v>
      </c>
      <c r="AK202" s="60">
        <f>IF(AN202=15,K202,0)</f>
        <v>0</v>
      </c>
      <c r="AL202" s="60">
        <f>IF(AN202=21,K202,0)</f>
        <v>0</v>
      </c>
      <c r="AN202" s="28">
        <v>21</v>
      </c>
      <c r="AO202" s="28">
        <f>J202*1</f>
        <v>0</v>
      </c>
      <c r="AP202" s="28">
        <f>J202*(1-1)</f>
        <v>0</v>
      </c>
      <c r="AQ202" s="57" t="s">
        <v>88</v>
      </c>
      <c r="AV202" s="28">
        <f>AW202+AX202</f>
        <v>0</v>
      </c>
      <c r="AW202" s="28">
        <f>I202*AO202</f>
        <v>0</v>
      </c>
      <c r="AX202" s="28">
        <f>I202*AP202</f>
        <v>0</v>
      </c>
      <c r="AY202" s="59" t="s">
        <v>930</v>
      </c>
      <c r="AZ202" s="59" t="s">
        <v>959</v>
      </c>
      <c r="BA202" s="56" t="s">
        <v>966</v>
      </c>
      <c r="BC202" s="28">
        <f>AW202+AX202</f>
        <v>0</v>
      </c>
      <c r="BD202" s="28">
        <f>J202/(100-BE202)*100</f>
        <v>0</v>
      </c>
      <c r="BE202" s="28">
        <v>0</v>
      </c>
      <c r="BF202" s="28">
        <f>202</f>
        <v>202</v>
      </c>
      <c r="BH202" s="60">
        <f>I202*AO202</f>
        <v>0</v>
      </c>
      <c r="BI202" s="60">
        <f>I202*AP202</f>
        <v>0</v>
      </c>
      <c r="BJ202" s="60">
        <f>I202*J202</f>
        <v>0</v>
      </c>
      <c r="BK202" s="60" t="s">
        <v>971</v>
      </c>
      <c r="BL202" s="28">
        <v>721</v>
      </c>
    </row>
    <row r="203" spans="1:64" x14ac:dyDescent="0.25">
      <c r="A203" s="34" t="s">
        <v>136</v>
      </c>
      <c r="B203" s="41" t="s">
        <v>320</v>
      </c>
      <c r="C203" s="146" t="s">
        <v>637</v>
      </c>
      <c r="D203" s="147"/>
      <c r="E203" s="147"/>
      <c r="F203" s="147"/>
      <c r="G203" s="147"/>
      <c r="H203" s="83" t="s">
        <v>893</v>
      </c>
      <c r="I203" s="76">
        <f>'Stavební rozpočet'!I203</f>
        <v>0.47</v>
      </c>
      <c r="J203" s="60"/>
      <c r="K203" s="60">
        <f>I203*J203</f>
        <v>0</v>
      </c>
      <c r="L203" s="53" t="s">
        <v>906</v>
      </c>
      <c r="M203" s="17"/>
      <c r="Z203" s="28">
        <f>IF(AQ203="5",BJ203,0)</f>
        <v>0</v>
      </c>
      <c r="AB203" s="28">
        <f>IF(AQ203="1",BH203,0)</f>
        <v>0</v>
      </c>
      <c r="AC203" s="28">
        <f>IF(AQ203="1",BI203,0)</f>
        <v>0</v>
      </c>
      <c r="AD203" s="28">
        <f>IF(AQ203="7",BH203,0)</f>
        <v>0</v>
      </c>
      <c r="AE203" s="28">
        <f>IF(AQ203="7",BI203,0)</f>
        <v>0</v>
      </c>
      <c r="AF203" s="28">
        <f>IF(AQ203="2",BH203,0)</f>
        <v>0</v>
      </c>
      <c r="AG203" s="28">
        <f>IF(AQ203="2",BI203,0)</f>
        <v>0</v>
      </c>
      <c r="AH203" s="28">
        <f>IF(AQ203="0",BJ203,0)</f>
        <v>0</v>
      </c>
      <c r="AI203" s="56" t="s">
        <v>72</v>
      </c>
      <c r="AJ203" s="60">
        <f>IF(AN203=0,K203,0)</f>
        <v>0</v>
      </c>
      <c r="AK203" s="60">
        <f>IF(AN203=15,K203,0)</f>
        <v>0</v>
      </c>
      <c r="AL203" s="60">
        <f>IF(AN203=21,K203,0)</f>
        <v>0</v>
      </c>
      <c r="AN203" s="28">
        <v>21</v>
      </c>
      <c r="AO203" s="28">
        <f>J203*0</f>
        <v>0</v>
      </c>
      <c r="AP203" s="28">
        <f>J203*(1-0)</f>
        <v>0</v>
      </c>
      <c r="AQ203" s="57" t="s">
        <v>86</v>
      </c>
      <c r="AV203" s="28">
        <f>AW203+AX203</f>
        <v>0</v>
      </c>
      <c r="AW203" s="28">
        <f>I203*AO203</f>
        <v>0</v>
      </c>
      <c r="AX203" s="28">
        <f>I203*AP203</f>
        <v>0</v>
      </c>
      <c r="AY203" s="59" t="s">
        <v>930</v>
      </c>
      <c r="AZ203" s="59" t="s">
        <v>959</v>
      </c>
      <c r="BA203" s="56" t="s">
        <v>966</v>
      </c>
      <c r="BC203" s="28">
        <f>AW203+AX203</f>
        <v>0</v>
      </c>
      <c r="BD203" s="28">
        <f>J203/(100-BE203)*100</f>
        <v>0</v>
      </c>
      <c r="BE203" s="28">
        <v>0</v>
      </c>
      <c r="BF203" s="28">
        <f>203</f>
        <v>203</v>
      </c>
      <c r="BH203" s="60">
        <f>I203*AO203</f>
        <v>0</v>
      </c>
      <c r="BI203" s="60">
        <f>I203*AP203</f>
        <v>0</v>
      </c>
      <c r="BJ203" s="60">
        <f>I203*J203</f>
        <v>0</v>
      </c>
      <c r="BK203" s="60" t="s">
        <v>971</v>
      </c>
      <c r="BL203" s="28">
        <v>721</v>
      </c>
    </row>
    <row r="204" spans="1:64" x14ac:dyDescent="0.25">
      <c r="A204" s="33"/>
      <c r="B204" s="40" t="s">
        <v>321</v>
      </c>
      <c r="C204" s="144" t="s">
        <v>638</v>
      </c>
      <c r="D204" s="145"/>
      <c r="E204" s="145"/>
      <c r="F204" s="145"/>
      <c r="G204" s="145"/>
      <c r="H204" s="46" t="s">
        <v>58</v>
      </c>
      <c r="I204" s="46" t="s">
        <v>58</v>
      </c>
      <c r="J204" s="46" t="s">
        <v>58</v>
      </c>
      <c r="K204" s="65">
        <f>SUM(K205:K243)</f>
        <v>0</v>
      </c>
      <c r="L204" s="52"/>
      <c r="M204" s="17"/>
      <c r="AI204" s="56" t="s">
        <v>72</v>
      </c>
      <c r="AS204" s="65">
        <f>SUM(AJ205:AJ243)</f>
        <v>0</v>
      </c>
      <c r="AT204" s="65">
        <f>SUM(AK205:AK243)</f>
        <v>0</v>
      </c>
      <c r="AU204" s="65">
        <f>SUM(AL205:AL243)</f>
        <v>0</v>
      </c>
    </row>
    <row r="205" spans="1:64" x14ac:dyDescent="0.25">
      <c r="A205" s="34" t="s">
        <v>137</v>
      </c>
      <c r="B205" s="41" t="s">
        <v>322</v>
      </c>
      <c r="C205" s="146" t="s">
        <v>639</v>
      </c>
      <c r="D205" s="147"/>
      <c r="E205" s="147"/>
      <c r="F205" s="147"/>
      <c r="G205" s="147"/>
      <c r="H205" s="41" t="s">
        <v>895</v>
      </c>
      <c r="I205" s="76">
        <f>'Stavební rozpočet'!I205</f>
        <v>30</v>
      </c>
      <c r="J205" s="60"/>
      <c r="K205" s="60">
        <f>I205*J205</f>
        <v>0</v>
      </c>
      <c r="L205" s="53" t="s">
        <v>906</v>
      </c>
      <c r="M205" s="17"/>
      <c r="Z205" s="28">
        <f>IF(AQ205="5",BJ205,0)</f>
        <v>0</v>
      </c>
      <c r="AB205" s="28">
        <f>IF(AQ205="1",BH205,0)</f>
        <v>0</v>
      </c>
      <c r="AC205" s="28">
        <f>IF(AQ205="1",BI205,0)</f>
        <v>0</v>
      </c>
      <c r="AD205" s="28">
        <f>IF(AQ205="7",BH205,0)</f>
        <v>0</v>
      </c>
      <c r="AE205" s="28">
        <f>IF(AQ205="7",BI205,0)</f>
        <v>0</v>
      </c>
      <c r="AF205" s="28">
        <f>IF(AQ205="2",BH205,0)</f>
        <v>0</v>
      </c>
      <c r="AG205" s="28">
        <f>IF(AQ205="2",BI205,0)</f>
        <v>0</v>
      </c>
      <c r="AH205" s="28">
        <f>IF(AQ205="0",BJ205,0)</f>
        <v>0</v>
      </c>
      <c r="AI205" s="56" t="s">
        <v>72</v>
      </c>
      <c r="AJ205" s="60">
        <f>IF(AN205=0,K205,0)</f>
        <v>0</v>
      </c>
      <c r="AK205" s="60">
        <f>IF(AN205=15,K205,0)</f>
        <v>0</v>
      </c>
      <c r="AL205" s="60">
        <f>IF(AN205=21,K205,0)</f>
        <v>0</v>
      </c>
      <c r="AN205" s="28">
        <v>21</v>
      </c>
      <c r="AO205" s="28">
        <f>J205*0.0546828053910207</f>
        <v>0</v>
      </c>
      <c r="AP205" s="28">
        <f>J205*(1-0.0546828053910207)</f>
        <v>0</v>
      </c>
      <c r="AQ205" s="57" t="s">
        <v>88</v>
      </c>
      <c r="AV205" s="28">
        <f>AW205+AX205</f>
        <v>0</v>
      </c>
      <c r="AW205" s="28">
        <f>I205*AO205</f>
        <v>0</v>
      </c>
      <c r="AX205" s="28">
        <f>I205*AP205</f>
        <v>0</v>
      </c>
      <c r="AY205" s="59" t="s">
        <v>931</v>
      </c>
      <c r="AZ205" s="59" t="s">
        <v>959</v>
      </c>
      <c r="BA205" s="56" t="s">
        <v>966</v>
      </c>
      <c r="BC205" s="28">
        <f>AW205+AX205</f>
        <v>0</v>
      </c>
      <c r="BD205" s="28">
        <f>J205/(100-BE205)*100</f>
        <v>0</v>
      </c>
      <c r="BE205" s="28">
        <v>0</v>
      </c>
      <c r="BF205" s="28">
        <f>205</f>
        <v>205</v>
      </c>
      <c r="BH205" s="60">
        <f>I205*AO205</f>
        <v>0</v>
      </c>
      <c r="BI205" s="60">
        <f>I205*AP205</f>
        <v>0</v>
      </c>
      <c r="BJ205" s="60">
        <f>I205*J205</f>
        <v>0</v>
      </c>
      <c r="BK205" s="60" t="s">
        <v>971</v>
      </c>
      <c r="BL205" s="28">
        <v>722</v>
      </c>
    </row>
    <row r="206" spans="1:64" x14ac:dyDescent="0.25">
      <c r="A206" s="17"/>
      <c r="C206" s="148" t="s">
        <v>640</v>
      </c>
      <c r="D206" s="149"/>
      <c r="E206" s="149"/>
      <c r="F206" s="149"/>
      <c r="G206" s="149"/>
      <c r="I206" s="77">
        <v>30</v>
      </c>
      <c r="J206" s="84"/>
      <c r="L206" s="14"/>
      <c r="M206" s="17"/>
    </row>
    <row r="207" spans="1:64" x14ac:dyDescent="0.25">
      <c r="A207" s="35" t="s">
        <v>138</v>
      </c>
      <c r="B207" s="43" t="s">
        <v>323</v>
      </c>
      <c r="C207" s="159" t="s">
        <v>641</v>
      </c>
      <c r="D207" s="160"/>
      <c r="E207" s="160"/>
      <c r="F207" s="160"/>
      <c r="G207" s="160"/>
      <c r="H207" s="43" t="s">
        <v>895</v>
      </c>
      <c r="I207" s="78">
        <f>'Stavební rozpočet'!I207</f>
        <v>30.9</v>
      </c>
      <c r="J207" s="61"/>
      <c r="K207" s="61">
        <f>I207*J207</f>
        <v>0</v>
      </c>
      <c r="L207" s="54" t="s">
        <v>906</v>
      </c>
      <c r="M207" s="17"/>
      <c r="Z207" s="28">
        <f>IF(AQ207="5",BJ207,0)</f>
        <v>0</v>
      </c>
      <c r="AB207" s="28">
        <f>IF(AQ207="1",BH207,0)</f>
        <v>0</v>
      </c>
      <c r="AC207" s="28">
        <f>IF(AQ207="1",BI207,0)</f>
        <v>0</v>
      </c>
      <c r="AD207" s="28">
        <f>IF(AQ207="7",BH207,0)</f>
        <v>0</v>
      </c>
      <c r="AE207" s="28">
        <f>IF(AQ207="7",BI207,0)</f>
        <v>0</v>
      </c>
      <c r="AF207" s="28">
        <f>IF(AQ207="2",BH207,0)</f>
        <v>0</v>
      </c>
      <c r="AG207" s="28">
        <f>IF(AQ207="2",BI207,0)</f>
        <v>0</v>
      </c>
      <c r="AH207" s="28">
        <f>IF(AQ207="0",BJ207,0)</f>
        <v>0</v>
      </c>
      <c r="AI207" s="56" t="s">
        <v>72</v>
      </c>
      <c r="AJ207" s="61">
        <f>IF(AN207=0,K207,0)</f>
        <v>0</v>
      </c>
      <c r="AK207" s="61">
        <f>IF(AN207=15,K207,0)</f>
        <v>0</v>
      </c>
      <c r="AL207" s="61">
        <f>IF(AN207=21,K207,0)</f>
        <v>0</v>
      </c>
      <c r="AN207" s="28">
        <v>21</v>
      </c>
      <c r="AO207" s="28">
        <f>J207*1</f>
        <v>0</v>
      </c>
      <c r="AP207" s="28">
        <f>J207*(1-1)</f>
        <v>0</v>
      </c>
      <c r="AQ207" s="58" t="s">
        <v>88</v>
      </c>
      <c r="AV207" s="28">
        <f>AW207+AX207</f>
        <v>0</v>
      </c>
      <c r="AW207" s="28">
        <f>I207*AO207</f>
        <v>0</v>
      </c>
      <c r="AX207" s="28">
        <f>I207*AP207</f>
        <v>0</v>
      </c>
      <c r="AY207" s="59" t="s">
        <v>931</v>
      </c>
      <c r="AZ207" s="59" t="s">
        <v>959</v>
      </c>
      <c r="BA207" s="56" t="s">
        <v>966</v>
      </c>
      <c r="BC207" s="28">
        <f>AW207+AX207</f>
        <v>0</v>
      </c>
      <c r="BD207" s="28">
        <f>J207/(100-BE207)*100</f>
        <v>0</v>
      </c>
      <c r="BE207" s="28">
        <v>0</v>
      </c>
      <c r="BF207" s="28">
        <f>207</f>
        <v>207</v>
      </c>
      <c r="BH207" s="61">
        <f>I207*AO207</f>
        <v>0</v>
      </c>
      <c r="BI207" s="61">
        <f>I207*AP207</f>
        <v>0</v>
      </c>
      <c r="BJ207" s="61">
        <f>I207*J207</f>
        <v>0</v>
      </c>
      <c r="BK207" s="61" t="s">
        <v>972</v>
      </c>
      <c r="BL207" s="28">
        <v>722</v>
      </c>
    </row>
    <row r="208" spans="1:64" x14ac:dyDescent="0.25">
      <c r="A208" s="17"/>
      <c r="C208" s="148" t="s">
        <v>640</v>
      </c>
      <c r="D208" s="149"/>
      <c r="E208" s="149"/>
      <c r="F208" s="149"/>
      <c r="G208" s="149"/>
      <c r="I208" s="77">
        <v>30</v>
      </c>
      <c r="J208" s="84"/>
      <c r="L208" s="14"/>
      <c r="M208" s="17"/>
    </row>
    <row r="209" spans="1:64" x14ac:dyDescent="0.25">
      <c r="A209" s="17"/>
      <c r="C209" s="148" t="s">
        <v>642</v>
      </c>
      <c r="D209" s="149"/>
      <c r="E209" s="149"/>
      <c r="F209" s="149"/>
      <c r="G209" s="149"/>
      <c r="I209" s="77">
        <v>0.9</v>
      </c>
      <c r="J209" s="84"/>
      <c r="L209" s="14"/>
      <c r="M209" s="17"/>
    </row>
    <row r="210" spans="1:64" x14ac:dyDescent="0.25">
      <c r="A210" s="34" t="s">
        <v>139</v>
      </c>
      <c r="B210" s="41" t="s">
        <v>324</v>
      </c>
      <c r="C210" s="146" t="s">
        <v>643</v>
      </c>
      <c r="D210" s="147"/>
      <c r="E210" s="147"/>
      <c r="F210" s="147"/>
      <c r="G210" s="147"/>
      <c r="H210" s="41" t="s">
        <v>895</v>
      </c>
      <c r="I210" s="76">
        <f>'Stavební rozpočet'!I210</f>
        <v>30.5</v>
      </c>
      <c r="J210" s="60"/>
      <c r="K210" s="60">
        <f>I210*J210</f>
        <v>0</v>
      </c>
      <c r="L210" s="53" t="s">
        <v>906</v>
      </c>
      <c r="M210" s="17"/>
      <c r="Z210" s="28">
        <f>IF(AQ210="5",BJ210,0)</f>
        <v>0</v>
      </c>
      <c r="AB210" s="28">
        <f>IF(AQ210="1",BH210,0)</f>
        <v>0</v>
      </c>
      <c r="AC210" s="28">
        <f>IF(AQ210="1",BI210,0)</f>
        <v>0</v>
      </c>
      <c r="AD210" s="28">
        <f>IF(AQ210="7",BH210,0)</f>
        <v>0</v>
      </c>
      <c r="AE210" s="28">
        <f>IF(AQ210="7",BI210,0)</f>
        <v>0</v>
      </c>
      <c r="AF210" s="28">
        <f>IF(AQ210="2",BH210,0)</f>
        <v>0</v>
      </c>
      <c r="AG210" s="28">
        <f>IF(AQ210="2",BI210,0)</f>
        <v>0</v>
      </c>
      <c r="AH210" s="28">
        <f>IF(AQ210="0",BJ210,0)</f>
        <v>0</v>
      </c>
      <c r="AI210" s="56" t="s">
        <v>72</v>
      </c>
      <c r="AJ210" s="60">
        <f>IF(AN210=0,K210,0)</f>
        <v>0</v>
      </c>
      <c r="AK210" s="60">
        <f>IF(AN210=15,K210,0)</f>
        <v>0</v>
      </c>
      <c r="AL210" s="60">
        <f>IF(AN210=21,K210,0)</f>
        <v>0</v>
      </c>
      <c r="AN210" s="28">
        <v>21</v>
      </c>
      <c r="AO210" s="28">
        <f>J210*0.049765625</f>
        <v>0</v>
      </c>
      <c r="AP210" s="28">
        <f>J210*(1-0.049765625)</f>
        <v>0</v>
      </c>
      <c r="AQ210" s="57" t="s">
        <v>88</v>
      </c>
      <c r="AV210" s="28">
        <f>AW210+AX210</f>
        <v>0</v>
      </c>
      <c r="AW210" s="28">
        <f>I210*AO210</f>
        <v>0</v>
      </c>
      <c r="AX210" s="28">
        <f>I210*AP210</f>
        <v>0</v>
      </c>
      <c r="AY210" s="59" t="s">
        <v>931</v>
      </c>
      <c r="AZ210" s="59" t="s">
        <v>959</v>
      </c>
      <c r="BA210" s="56" t="s">
        <v>966</v>
      </c>
      <c r="BC210" s="28">
        <f>AW210+AX210</f>
        <v>0</v>
      </c>
      <c r="BD210" s="28">
        <f>J210/(100-BE210)*100</f>
        <v>0</v>
      </c>
      <c r="BE210" s="28">
        <v>0</v>
      </c>
      <c r="BF210" s="28">
        <f>210</f>
        <v>210</v>
      </c>
      <c r="BH210" s="60">
        <f>I210*AO210</f>
        <v>0</v>
      </c>
      <c r="BI210" s="60">
        <f>I210*AP210</f>
        <v>0</v>
      </c>
      <c r="BJ210" s="60">
        <f>I210*J210</f>
        <v>0</v>
      </c>
      <c r="BK210" s="60" t="s">
        <v>971</v>
      </c>
      <c r="BL210" s="28">
        <v>722</v>
      </c>
    </row>
    <row r="211" spans="1:64" x14ac:dyDescent="0.25">
      <c r="A211" s="17"/>
      <c r="C211" s="148" t="s">
        <v>644</v>
      </c>
      <c r="D211" s="149"/>
      <c r="E211" s="149"/>
      <c r="F211" s="149"/>
      <c r="G211" s="149"/>
      <c r="I211" s="77">
        <v>30.5</v>
      </c>
      <c r="J211" s="84"/>
      <c r="L211" s="14"/>
      <c r="M211" s="17"/>
    </row>
    <row r="212" spans="1:64" x14ac:dyDescent="0.25">
      <c r="A212" s="35" t="s">
        <v>140</v>
      </c>
      <c r="B212" s="43" t="s">
        <v>325</v>
      </c>
      <c r="C212" s="159" t="s">
        <v>645</v>
      </c>
      <c r="D212" s="160"/>
      <c r="E212" s="160"/>
      <c r="F212" s="160"/>
      <c r="G212" s="160"/>
      <c r="H212" s="43" t="s">
        <v>895</v>
      </c>
      <c r="I212" s="78">
        <f>'Stavební rozpočet'!I212</f>
        <v>30.5</v>
      </c>
      <c r="J212" s="61"/>
      <c r="K212" s="61">
        <f>I212*J212</f>
        <v>0</v>
      </c>
      <c r="L212" s="54" t="s">
        <v>906</v>
      </c>
      <c r="M212" s="17"/>
      <c r="Z212" s="28">
        <f>IF(AQ212="5",BJ212,0)</f>
        <v>0</v>
      </c>
      <c r="AB212" s="28">
        <f>IF(AQ212="1",BH212,0)</f>
        <v>0</v>
      </c>
      <c r="AC212" s="28">
        <f>IF(AQ212="1",BI212,0)</f>
        <v>0</v>
      </c>
      <c r="AD212" s="28">
        <f>IF(AQ212="7",BH212,0)</f>
        <v>0</v>
      </c>
      <c r="AE212" s="28">
        <f>IF(AQ212="7",BI212,0)</f>
        <v>0</v>
      </c>
      <c r="AF212" s="28">
        <f>IF(AQ212="2",BH212,0)</f>
        <v>0</v>
      </c>
      <c r="AG212" s="28">
        <f>IF(AQ212="2",BI212,0)</f>
        <v>0</v>
      </c>
      <c r="AH212" s="28">
        <f>IF(AQ212="0",BJ212,0)</f>
        <v>0</v>
      </c>
      <c r="AI212" s="56" t="s">
        <v>72</v>
      </c>
      <c r="AJ212" s="61">
        <f>IF(AN212=0,K212,0)</f>
        <v>0</v>
      </c>
      <c r="AK212" s="61">
        <f>IF(AN212=15,K212,0)</f>
        <v>0</v>
      </c>
      <c r="AL212" s="61">
        <f>IF(AN212=21,K212,0)</f>
        <v>0</v>
      </c>
      <c r="AN212" s="28">
        <v>21</v>
      </c>
      <c r="AO212" s="28">
        <f>J212*1</f>
        <v>0</v>
      </c>
      <c r="AP212" s="28">
        <f>J212*(1-1)</f>
        <v>0</v>
      </c>
      <c r="AQ212" s="58" t="s">
        <v>88</v>
      </c>
      <c r="AV212" s="28">
        <f>AW212+AX212</f>
        <v>0</v>
      </c>
      <c r="AW212" s="28">
        <f>I212*AO212</f>
        <v>0</v>
      </c>
      <c r="AX212" s="28">
        <f>I212*AP212</f>
        <v>0</v>
      </c>
      <c r="AY212" s="59" t="s">
        <v>931</v>
      </c>
      <c r="AZ212" s="59" t="s">
        <v>959</v>
      </c>
      <c r="BA212" s="56" t="s">
        <v>966</v>
      </c>
      <c r="BC212" s="28">
        <f>AW212+AX212</f>
        <v>0</v>
      </c>
      <c r="BD212" s="28">
        <f>J212/(100-BE212)*100</f>
        <v>0</v>
      </c>
      <c r="BE212" s="28">
        <v>0</v>
      </c>
      <c r="BF212" s="28">
        <f>212</f>
        <v>212</v>
      </c>
      <c r="BH212" s="61">
        <f>I212*AO212</f>
        <v>0</v>
      </c>
      <c r="BI212" s="61">
        <f>I212*AP212</f>
        <v>0</v>
      </c>
      <c r="BJ212" s="61">
        <f>I212*J212</f>
        <v>0</v>
      </c>
      <c r="BK212" s="61" t="s">
        <v>972</v>
      </c>
      <c r="BL212" s="28">
        <v>722</v>
      </c>
    </row>
    <row r="213" spans="1:64" x14ac:dyDescent="0.25">
      <c r="A213" s="17"/>
      <c r="C213" s="148" t="s">
        <v>644</v>
      </c>
      <c r="D213" s="149"/>
      <c r="E213" s="149"/>
      <c r="F213" s="149"/>
      <c r="G213" s="149"/>
      <c r="I213" s="77">
        <v>30.5</v>
      </c>
      <c r="J213" s="84"/>
      <c r="L213" s="14"/>
      <c r="M213" s="17"/>
    </row>
    <row r="214" spans="1:64" x14ac:dyDescent="0.25">
      <c r="A214" s="17"/>
      <c r="C214" s="148" t="s">
        <v>646</v>
      </c>
      <c r="D214" s="149"/>
      <c r="E214" s="149"/>
      <c r="F214" s="149"/>
      <c r="G214" s="149"/>
      <c r="I214" s="77">
        <v>0</v>
      </c>
      <c r="J214" s="84"/>
      <c r="L214" s="14"/>
      <c r="M214" s="17"/>
    </row>
    <row r="215" spans="1:64" x14ac:dyDescent="0.25">
      <c r="A215" s="34" t="s">
        <v>141</v>
      </c>
      <c r="B215" s="41" t="s">
        <v>326</v>
      </c>
      <c r="C215" s="146" t="s">
        <v>647</v>
      </c>
      <c r="D215" s="147"/>
      <c r="E215" s="147"/>
      <c r="F215" s="147"/>
      <c r="G215" s="147"/>
      <c r="H215" s="41" t="s">
        <v>895</v>
      </c>
      <c r="I215" s="76">
        <f>'Stavební rozpočet'!I215</f>
        <v>7.2</v>
      </c>
      <c r="J215" s="60"/>
      <c r="K215" s="60">
        <f>I215*J215</f>
        <v>0</v>
      </c>
      <c r="L215" s="53" t="s">
        <v>906</v>
      </c>
      <c r="M215" s="17"/>
      <c r="Z215" s="28">
        <f>IF(AQ215="5",BJ215,0)</f>
        <v>0</v>
      </c>
      <c r="AB215" s="28">
        <f>IF(AQ215="1",BH215,0)</f>
        <v>0</v>
      </c>
      <c r="AC215" s="28">
        <f>IF(AQ215="1",BI215,0)</f>
        <v>0</v>
      </c>
      <c r="AD215" s="28">
        <f>IF(AQ215="7",BH215,0)</f>
        <v>0</v>
      </c>
      <c r="AE215" s="28">
        <f>IF(AQ215="7",BI215,0)</f>
        <v>0</v>
      </c>
      <c r="AF215" s="28">
        <f>IF(AQ215="2",BH215,0)</f>
        <v>0</v>
      </c>
      <c r="AG215" s="28">
        <f>IF(AQ215="2",BI215,0)</f>
        <v>0</v>
      </c>
      <c r="AH215" s="28">
        <f>IF(AQ215="0",BJ215,0)</f>
        <v>0</v>
      </c>
      <c r="AI215" s="56" t="s">
        <v>72</v>
      </c>
      <c r="AJ215" s="60">
        <f>IF(AN215=0,K215,0)</f>
        <v>0</v>
      </c>
      <c r="AK215" s="60">
        <f>IF(AN215=15,K215,0)</f>
        <v>0</v>
      </c>
      <c r="AL215" s="60">
        <f>IF(AN215=21,K215,0)</f>
        <v>0</v>
      </c>
      <c r="AN215" s="28">
        <v>21</v>
      </c>
      <c r="AO215" s="28">
        <f>J215*0.0458273381294964</f>
        <v>0</v>
      </c>
      <c r="AP215" s="28">
        <f>J215*(1-0.0458273381294964)</f>
        <v>0</v>
      </c>
      <c r="AQ215" s="57" t="s">
        <v>88</v>
      </c>
      <c r="AV215" s="28">
        <f>AW215+AX215</f>
        <v>0</v>
      </c>
      <c r="AW215" s="28">
        <f>I215*AO215</f>
        <v>0</v>
      </c>
      <c r="AX215" s="28">
        <f>I215*AP215</f>
        <v>0</v>
      </c>
      <c r="AY215" s="59" t="s">
        <v>931</v>
      </c>
      <c r="AZ215" s="59" t="s">
        <v>959</v>
      </c>
      <c r="BA215" s="56" t="s">
        <v>966</v>
      </c>
      <c r="BC215" s="28">
        <f>AW215+AX215</f>
        <v>0</v>
      </c>
      <c r="BD215" s="28">
        <f>J215/(100-BE215)*100</f>
        <v>0</v>
      </c>
      <c r="BE215" s="28">
        <v>0</v>
      </c>
      <c r="BF215" s="28">
        <f>215</f>
        <v>215</v>
      </c>
      <c r="BH215" s="60">
        <f>I215*AO215</f>
        <v>0</v>
      </c>
      <c r="BI215" s="60">
        <f>I215*AP215</f>
        <v>0</v>
      </c>
      <c r="BJ215" s="60">
        <f>I215*J215</f>
        <v>0</v>
      </c>
      <c r="BK215" s="60" t="s">
        <v>971</v>
      </c>
      <c r="BL215" s="28">
        <v>722</v>
      </c>
    </row>
    <row r="216" spans="1:64" x14ac:dyDescent="0.25">
      <c r="A216" s="17"/>
      <c r="C216" s="148" t="s">
        <v>648</v>
      </c>
      <c r="D216" s="149"/>
      <c r="E216" s="149"/>
      <c r="F216" s="149"/>
      <c r="G216" s="149"/>
      <c r="I216" s="77">
        <v>7.2</v>
      </c>
      <c r="L216" s="14"/>
      <c r="M216" s="17"/>
    </row>
    <row r="217" spans="1:64" x14ac:dyDescent="0.25">
      <c r="A217" s="35" t="s">
        <v>142</v>
      </c>
      <c r="B217" s="43" t="s">
        <v>327</v>
      </c>
      <c r="C217" s="159" t="s">
        <v>649</v>
      </c>
      <c r="D217" s="160"/>
      <c r="E217" s="160"/>
      <c r="F217" s="160"/>
      <c r="G217" s="160"/>
      <c r="H217" s="43" t="s">
        <v>895</v>
      </c>
      <c r="I217" s="78">
        <f>'Stavební rozpočet'!I217</f>
        <v>7.4160000000000004</v>
      </c>
      <c r="J217" s="61"/>
      <c r="K217" s="61">
        <f>I217*J217</f>
        <v>0</v>
      </c>
      <c r="L217" s="54" t="s">
        <v>906</v>
      </c>
      <c r="M217" s="17"/>
      <c r="Z217" s="28">
        <f>IF(AQ217="5",BJ217,0)</f>
        <v>0</v>
      </c>
      <c r="AB217" s="28">
        <f>IF(AQ217="1",BH217,0)</f>
        <v>0</v>
      </c>
      <c r="AC217" s="28">
        <f>IF(AQ217="1",BI217,0)</f>
        <v>0</v>
      </c>
      <c r="AD217" s="28">
        <f>IF(AQ217="7",BH217,0)</f>
        <v>0</v>
      </c>
      <c r="AE217" s="28">
        <f>IF(AQ217="7",BI217,0)</f>
        <v>0</v>
      </c>
      <c r="AF217" s="28">
        <f>IF(AQ217="2",BH217,0)</f>
        <v>0</v>
      </c>
      <c r="AG217" s="28">
        <f>IF(AQ217="2",BI217,0)</f>
        <v>0</v>
      </c>
      <c r="AH217" s="28">
        <f>IF(AQ217="0",BJ217,0)</f>
        <v>0</v>
      </c>
      <c r="AI217" s="56" t="s">
        <v>72</v>
      </c>
      <c r="AJ217" s="61">
        <f>IF(AN217=0,K217,0)</f>
        <v>0</v>
      </c>
      <c r="AK217" s="61">
        <f>IF(AN217=15,K217,0)</f>
        <v>0</v>
      </c>
      <c r="AL217" s="61">
        <f>IF(AN217=21,K217,0)</f>
        <v>0</v>
      </c>
      <c r="AN217" s="28">
        <v>21</v>
      </c>
      <c r="AO217" s="28">
        <f>J217*1</f>
        <v>0</v>
      </c>
      <c r="AP217" s="28">
        <f>J217*(1-1)</f>
        <v>0</v>
      </c>
      <c r="AQ217" s="58" t="s">
        <v>88</v>
      </c>
      <c r="AV217" s="28">
        <f>AW217+AX217</f>
        <v>0</v>
      </c>
      <c r="AW217" s="28">
        <f>I217*AO217</f>
        <v>0</v>
      </c>
      <c r="AX217" s="28">
        <f>I217*AP217</f>
        <v>0</v>
      </c>
      <c r="AY217" s="59" t="s">
        <v>931</v>
      </c>
      <c r="AZ217" s="59" t="s">
        <v>959</v>
      </c>
      <c r="BA217" s="56" t="s">
        <v>966</v>
      </c>
      <c r="BC217" s="28">
        <f>AW217+AX217</f>
        <v>0</v>
      </c>
      <c r="BD217" s="28">
        <f>J217/(100-BE217)*100</f>
        <v>0</v>
      </c>
      <c r="BE217" s="28">
        <v>0</v>
      </c>
      <c r="BF217" s="28">
        <f>217</f>
        <v>217</v>
      </c>
      <c r="BH217" s="61">
        <f>I217*AO217</f>
        <v>0</v>
      </c>
      <c r="BI217" s="61">
        <f>I217*AP217</f>
        <v>0</v>
      </c>
      <c r="BJ217" s="61">
        <f>I217*J217</f>
        <v>0</v>
      </c>
      <c r="BK217" s="61" t="s">
        <v>972</v>
      </c>
      <c r="BL217" s="28">
        <v>722</v>
      </c>
    </row>
    <row r="218" spans="1:64" x14ac:dyDescent="0.25">
      <c r="A218" s="17"/>
      <c r="C218" s="148" t="s">
        <v>648</v>
      </c>
      <c r="D218" s="149"/>
      <c r="E218" s="149"/>
      <c r="F218" s="149"/>
      <c r="G218" s="149"/>
      <c r="I218" s="77">
        <v>7.2</v>
      </c>
      <c r="J218" s="84"/>
      <c r="L218" s="14"/>
      <c r="M218" s="17"/>
    </row>
    <row r="219" spans="1:64" x14ac:dyDescent="0.25">
      <c r="A219" s="17"/>
      <c r="C219" s="148" t="s">
        <v>650</v>
      </c>
      <c r="D219" s="149"/>
      <c r="E219" s="149"/>
      <c r="F219" s="149"/>
      <c r="G219" s="149"/>
      <c r="I219" s="77">
        <v>0.216</v>
      </c>
      <c r="J219" s="84"/>
      <c r="L219" s="14"/>
      <c r="M219" s="17"/>
    </row>
    <row r="220" spans="1:64" x14ac:dyDescent="0.25">
      <c r="A220" s="34" t="s">
        <v>143</v>
      </c>
      <c r="B220" s="41" t="s">
        <v>328</v>
      </c>
      <c r="C220" s="146" t="s">
        <v>651</v>
      </c>
      <c r="D220" s="147"/>
      <c r="E220" s="147"/>
      <c r="F220" s="147"/>
      <c r="G220" s="147"/>
      <c r="H220" s="41" t="s">
        <v>895</v>
      </c>
      <c r="I220" s="76">
        <f>'Stavební rozpočet'!I220</f>
        <v>16</v>
      </c>
      <c r="J220" s="60"/>
      <c r="K220" s="60">
        <f>I220*J220</f>
        <v>0</v>
      </c>
      <c r="L220" s="53" t="s">
        <v>906</v>
      </c>
      <c r="M220" s="17"/>
      <c r="Z220" s="28">
        <f>IF(AQ220="5",BJ220,0)</f>
        <v>0</v>
      </c>
      <c r="AB220" s="28">
        <f>IF(AQ220="1",BH220,0)</f>
        <v>0</v>
      </c>
      <c r="AC220" s="28">
        <f>IF(AQ220="1",BI220,0)</f>
        <v>0</v>
      </c>
      <c r="AD220" s="28">
        <f>IF(AQ220="7",BH220,0)</f>
        <v>0</v>
      </c>
      <c r="AE220" s="28">
        <f>IF(AQ220="7",BI220,0)</f>
        <v>0</v>
      </c>
      <c r="AF220" s="28">
        <f>IF(AQ220="2",BH220,0)</f>
        <v>0</v>
      </c>
      <c r="AG220" s="28">
        <f>IF(AQ220="2",BI220,0)</f>
        <v>0</v>
      </c>
      <c r="AH220" s="28">
        <f>IF(AQ220="0",BJ220,0)</f>
        <v>0</v>
      </c>
      <c r="AI220" s="56" t="s">
        <v>72</v>
      </c>
      <c r="AJ220" s="60">
        <f>IF(AN220=0,K220,0)</f>
        <v>0</v>
      </c>
      <c r="AK220" s="60">
        <f>IF(AN220=15,K220,0)</f>
        <v>0</v>
      </c>
      <c r="AL220" s="60">
        <f>IF(AN220=21,K220,0)</f>
        <v>0</v>
      </c>
      <c r="AN220" s="28">
        <v>21</v>
      </c>
      <c r="AO220" s="28">
        <f>J220*0.0399373040752351</f>
        <v>0</v>
      </c>
      <c r="AP220" s="28">
        <f>J220*(1-0.0399373040752351)</f>
        <v>0</v>
      </c>
      <c r="AQ220" s="57" t="s">
        <v>88</v>
      </c>
      <c r="AV220" s="28">
        <f>AW220+AX220</f>
        <v>0</v>
      </c>
      <c r="AW220" s="28">
        <f>I220*AO220</f>
        <v>0</v>
      </c>
      <c r="AX220" s="28">
        <f>I220*AP220</f>
        <v>0</v>
      </c>
      <c r="AY220" s="59" t="s">
        <v>931</v>
      </c>
      <c r="AZ220" s="59" t="s">
        <v>959</v>
      </c>
      <c r="BA220" s="56" t="s">
        <v>966</v>
      </c>
      <c r="BC220" s="28">
        <f>AW220+AX220</f>
        <v>0</v>
      </c>
      <c r="BD220" s="28">
        <f>J220/(100-BE220)*100</f>
        <v>0</v>
      </c>
      <c r="BE220" s="28">
        <v>0</v>
      </c>
      <c r="BF220" s="28">
        <f>220</f>
        <v>220</v>
      </c>
      <c r="BH220" s="60">
        <f>I220*AO220</f>
        <v>0</v>
      </c>
      <c r="BI220" s="60">
        <f>I220*AP220</f>
        <v>0</v>
      </c>
      <c r="BJ220" s="60">
        <f>I220*J220</f>
        <v>0</v>
      </c>
      <c r="BK220" s="60" t="s">
        <v>971</v>
      </c>
      <c r="BL220" s="28">
        <v>722</v>
      </c>
    </row>
    <row r="221" spans="1:64" x14ac:dyDescent="0.25">
      <c r="A221" s="17"/>
      <c r="C221" s="148" t="s">
        <v>652</v>
      </c>
      <c r="D221" s="149"/>
      <c r="E221" s="149"/>
      <c r="F221" s="149"/>
      <c r="G221" s="149"/>
      <c r="I221" s="77">
        <v>16</v>
      </c>
      <c r="J221" s="84"/>
      <c r="L221" s="14"/>
      <c r="M221" s="17"/>
    </row>
    <row r="222" spans="1:64" x14ac:dyDescent="0.25">
      <c r="A222" s="35" t="s">
        <v>144</v>
      </c>
      <c r="B222" s="43" t="s">
        <v>329</v>
      </c>
      <c r="C222" s="159" t="s">
        <v>653</v>
      </c>
      <c r="D222" s="160"/>
      <c r="E222" s="160"/>
      <c r="F222" s="160"/>
      <c r="G222" s="160"/>
      <c r="H222" s="43" t="s">
        <v>895</v>
      </c>
      <c r="I222" s="78">
        <f>'Stavební rozpočet'!I222</f>
        <v>16.48</v>
      </c>
      <c r="J222" s="61"/>
      <c r="K222" s="61">
        <f>I222*J222</f>
        <v>0</v>
      </c>
      <c r="L222" s="54" t="s">
        <v>906</v>
      </c>
      <c r="M222" s="17"/>
      <c r="Z222" s="28">
        <f>IF(AQ222="5",BJ222,0)</f>
        <v>0</v>
      </c>
      <c r="AB222" s="28">
        <f>IF(AQ222="1",BH222,0)</f>
        <v>0</v>
      </c>
      <c r="AC222" s="28">
        <f>IF(AQ222="1",BI222,0)</f>
        <v>0</v>
      </c>
      <c r="AD222" s="28">
        <f>IF(AQ222="7",BH222,0)</f>
        <v>0</v>
      </c>
      <c r="AE222" s="28">
        <f>IF(AQ222="7",BI222,0)</f>
        <v>0</v>
      </c>
      <c r="AF222" s="28">
        <f>IF(AQ222="2",BH222,0)</f>
        <v>0</v>
      </c>
      <c r="AG222" s="28">
        <f>IF(AQ222="2",BI222,0)</f>
        <v>0</v>
      </c>
      <c r="AH222" s="28">
        <f>IF(AQ222="0",BJ222,0)</f>
        <v>0</v>
      </c>
      <c r="AI222" s="56" t="s">
        <v>72</v>
      </c>
      <c r="AJ222" s="61">
        <f>IF(AN222=0,K222,0)</f>
        <v>0</v>
      </c>
      <c r="AK222" s="61">
        <f>IF(AN222=15,K222,0)</f>
        <v>0</v>
      </c>
      <c r="AL222" s="61">
        <f>IF(AN222=21,K222,0)</f>
        <v>0</v>
      </c>
      <c r="AN222" s="28">
        <v>21</v>
      </c>
      <c r="AO222" s="28">
        <f>J222*1</f>
        <v>0</v>
      </c>
      <c r="AP222" s="28">
        <f>J222*(1-1)</f>
        <v>0</v>
      </c>
      <c r="AQ222" s="58" t="s">
        <v>88</v>
      </c>
      <c r="AV222" s="28">
        <f>AW222+AX222</f>
        <v>0</v>
      </c>
      <c r="AW222" s="28">
        <f>I222*AO222</f>
        <v>0</v>
      </c>
      <c r="AX222" s="28">
        <f>I222*AP222</f>
        <v>0</v>
      </c>
      <c r="AY222" s="59" t="s">
        <v>931</v>
      </c>
      <c r="AZ222" s="59" t="s">
        <v>959</v>
      </c>
      <c r="BA222" s="56" t="s">
        <v>966</v>
      </c>
      <c r="BC222" s="28">
        <f>AW222+AX222</f>
        <v>0</v>
      </c>
      <c r="BD222" s="28">
        <f>J222/(100-BE222)*100</f>
        <v>0</v>
      </c>
      <c r="BE222" s="28">
        <v>0</v>
      </c>
      <c r="BF222" s="28">
        <f>222</f>
        <v>222</v>
      </c>
      <c r="BH222" s="61">
        <f>I222*AO222</f>
        <v>0</v>
      </c>
      <c r="BI222" s="61">
        <f>I222*AP222</f>
        <v>0</v>
      </c>
      <c r="BJ222" s="61">
        <f>I222*J222</f>
        <v>0</v>
      </c>
      <c r="BK222" s="61" t="s">
        <v>972</v>
      </c>
      <c r="BL222" s="28">
        <v>722</v>
      </c>
    </row>
    <row r="223" spans="1:64" x14ac:dyDescent="0.25">
      <c r="A223" s="17"/>
      <c r="C223" s="148" t="s">
        <v>652</v>
      </c>
      <c r="D223" s="149"/>
      <c r="E223" s="149"/>
      <c r="F223" s="149"/>
      <c r="G223" s="149"/>
      <c r="I223" s="77">
        <v>16</v>
      </c>
      <c r="J223" s="84"/>
      <c r="L223" s="14"/>
      <c r="M223" s="17"/>
    </row>
    <row r="224" spans="1:64" x14ac:dyDescent="0.25">
      <c r="A224" s="17"/>
      <c r="C224" s="148" t="s">
        <v>654</v>
      </c>
      <c r="D224" s="149"/>
      <c r="E224" s="149"/>
      <c r="F224" s="149"/>
      <c r="G224" s="149"/>
      <c r="I224" s="77">
        <v>0.48</v>
      </c>
      <c r="J224" s="84"/>
      <c r="L224" s="14"/>
      <c r="M224" s="17"/>
    </row>
    <row r="225" spans="1:64" x14ac:dyDescent="0.25">
      <c r="A225" s="34" t="s">
        <v>145</v>
      </c>
      <c r="B225" s="41" t="s">
        <v>330</v>
      </c>
      <c r="C225" s="146" t="s">
        <v>655</v>
      </c>
      <c r="D225" s="147"/>
      <c r="E225" s="147"/>
      <c r="F225" s="147"/>
      <c r="G225" s="147"/>
      <c r="H225" s="41" t="s">
        <v>895</v>
      </c>
      <c r="I225" s="76">
        <f>'Stavební rozpočet'!I225</f>
        <v>67.7</v>
      </c>
      <c r="J225" s="60"/>
      <c r="K225" s="60">
        <f>I225*J225</f>
        <v>0</v>
      </c>
      <c r="L225" s="53" t="s">
        <v>906</v>
      </c>
      <c r="M225" s="17"/>
      <c r="Z225" s="28">
        <f>IF(AQ225="5",BJ225,0)</f>
        <v>0</v>
      </c>
      <c r="AB225" s="28">
        <f>IF(AQ225="1",BH225,0)</f>
        <v>0</v>
      </c>
      <c r="AC225" s="28">
        <f>IF(AQ225="1",BI225,0)</f>
        <v>0</v>
      </c>
      <c r="AD225" s="28">
        <f>IF(AQ225="7",BH225,0)</f>
        <v>0</v>
      </c>
      <c r="AE225" s="28">
        <f>IF(AQ225="7",BI225,0)</f>
        <v>0</v>
      </c>
      <c r="AF225" s="28">
        <f>IF(AQ225="2",BH225,0)</f>
        <v>0</v>
      </c>
      <c r="AG225" s="28">
        <f>IF(AQ225="2",BI225,0)</f>
        <v>0</v>
      </c>
      <c r="AH225" s="28">
        <f>IF(AQ225="0",BJ225,0)</f>
        <v>0</v>
      </c>
      <c r="AI225" s="56" t="s">
        <v>72</v>
      </c>
      <c r="AJ225" s="60">
        <f>IF(AN225=0,K225,0)</f>
        <v>0</v>
      </c>
      <c r="AK225" s="60">
        <f>IF(AN225=15,K225,0)</f>
        <v>0</v>
      </c>
      <c r="AL225" s="60">
        <f>IF(AN225=21,K225,0)</f>
        <v>0</v>
      </c>
      <c r="AN225" s="28">
        <v>21</v>
      </c>
      <c r="AO225" s="28">
        <f>J225*0</f>
        <v>0</v>
      </c>
      <c r="AP225" s="28">
        <f>J225*(1-0)</f>
        <v>0</v>
      </c>
      <c r="AQ225" s="57" t="s">
        <v>88</v>
      </c>
      <c r="AV225" s="28">
        <f>AW225+AX225</f>
        <v>0</v>
      </c>
      <c r="AW225" s="28">
        <f>I225*AO225</f>
        <v>0</v>
      </c>
      <c r="AX225" s="28">
        <f>I225*AP225</f>
        <v>0</v>
      </c>
      <c r="AY225" s="59" t="s">
        <v>931</v>
      </c>
      <c r="AZ225" s="59" t="s">
        <v>959</v>
      </c>
      <c r="BA225" s="56" t="s">
        <v>966</v>
      </c>
      <c r="BC225" s="28">
        <f>AW225+AX225</f>
        <v>0</v>
      </c>
      <c r="BD225" s="28">
        <f>J225/(100-BE225)*100</f>
        <v>0</v>
      </c>
      <c r="BE225" s="28">
        <v>0</v>
      </c>
      <c r="BF225" s="28">
        <f>225</f>
        <v>225</v>
      </c>
      <c r="BH225" s="60">
        <f>I225*AO225</f>
        <v>0</v>
      </c>
      <c r="BI225" s="60">
        <f>I225*AP225</f>
        <v>0</v>
      </c>
      <c r="BJ225" s="60">
        <f>I225*J225</f>
        <v>0</v>
      </c>
      <c r="BK225" s="60" t="s">
        <v>971</v>
      </c>
      <c r="BL225" s="28">
        <v>722</v>
      </c>
    </row>
    <row r="226" spans="1:64" x14ac:dyDescent="0.25">
      <c r="A226" s="17"/>
      <c r="C226" s="148" t="s">
        <v>656</v>
      </c>
      <c r="D226" s="149"/>
      <c r="E226" s="149"/>
      <c r="F226" s="149"/>
      <c r="G226" s="149"/>
      <c r="I226" s="77">
        <v>67.7</v>
      </c>
      <c r="J226" s="84"/>
      <c r="L226" s="14"/>
      <c r="M226" s="17"/>
    </row>
    <row r="227" spans="1:64" x14ac:dyDescent="0.25">
      <c r="A227" s="35" t="s">
        <v>146</v>
      </c>
      <c r="B227" s="43" t="s">
        <v>331</v>
      </c>
      <c r="C227" s="159" t="s">
        <v>657</v>
      </c>
      <c r="D227" s="160"/>
      <c r="E227" s="160"/>
      <c r="F227" s="160"/>
      <c r="G227" s="160"/>
      <c r="H227" s="43" t="s">
        <v>895</v>
      </c>
      <c r="I227" s="78">
        <f>'Stavební rozpočet'!I227</f>
        <v>30.9</v>
      </c>
      <c r="J227" s="61"/>
      <c r="K227" s="61">
        <f>I227*J227</f>
        <v>0</v>
      </c>
      <c r="L227" s="54" t="s">
        <v>906</v>
      </c>
      <c r="M227" s="17"/>
      <c r="Z227" s="28">
        <f>IF(AQ227="5",BJ227,0)</f>
        <v>0</v>
      </c>
      <c r="AB227" s="28">
        <f>IF(AQ227="1",BH227,0)</f>
        <v>0</v>
      </c>
      <c r="AC227" s="28">
        <f>IF(AQ227="1",BI227,0)</f>
        <v>0</v>
      </c>
      <c r="AD227" s="28">
        <f>IF(AQ227="7",BH227,0)</f>
        <v>0</v>
      </c>
      <c r="AE227" s="28">
        <f>IF(AQ227="7",BI227,0)</f>
        <v>0</v>
      </c>
      <c r="AF227" s="28">
        <f>IF(AQ227="2",BH227,0)</f>
        <v>0</v>
      </c>
      <c r="AG227" s="28">
        <f>IF(AQ227="2",BI227,0)</f>
        <v>0</v>
      </c>
      <c r="AH227" s="28">
        <f>IF(AQ227="0",BJ227,0)</f>
        <v>0</v>
      </c>
      <c r="AI227" s="56" t="s">
        <v>72</v>
      </c>
      <c r="AJ227" s="61">
        <f>IF(AN227=0,K227,0)</f>
        <v>0</v>
      </c>
      <c r="AK227" s="61">
        <f>IF(AN227=15,K227,0)</f>
        <v>0</v>
      </c>
      <c r="AL227" s="61">
        <f>IF(AN227=21,K227,0)</f>
        <v>0</v>
      </c>
      <c r="AN227" s="28">
        <v>21</v>
      </c>
      <c r="AO227" s="28">
        <f>J227*1</f>
        <v>0</v>
      </c>
      <c r="AP227" s="28">
        <f>J227*(1-1)</f>
        <v>0</v>
      </c>
      <c r="AQ227" s="58" t="s">
        <v>88</v>
      </c>
      <c r="AV227" s="28">
        <f>AW227+AX227</f>
        <v>0</v>
      </c>
      <c r="AW227" s="28">
        <f>I227*AO227</f>
        <v>0</v>
      </c>
      <c r="AX227" s="28">
        <f>I227*AP227</f>
        <v>0</v>
      </c>
      <c r="AY227" s="59" t="s">
        <v>931</v>
      </c>
      <c r="AZ227" s="59" t="s">
        <v>959</v>
      </c>
      <c r="BA227" s="56" t="s">
        <v>966</v>
      </c>
      <c r="BC227" s="28">
        <f>AW227+AX227</f>
        <v>0</v>
      </c>
      <c r="BD227" s="28">
        <f>J227/(100-BE227)*100</f>
        <v>0</v>
      </c>
      <c r="BE227" s="28">
        <v>0</v>
      </c>
      <c r="BF227" s="28">
        <f>227</f>
        <v>227</v>
      </c>
      <c r="BH227" s="61">
        <f>I227*AO227</f>
        <v>0</v>
      </c>
      <c r="BI227" s="61">
        <f>I227*AP227</f>
        <v>0</v>
      </c>
      <c r="BJ227" s="61">
        <f>I227*J227</f>
        <v>0</v>
      </c>
      <c r="BK227" s="61" t="s">
        <v>972</v>
      </c>
      <c r="BL227" s="28">
        <v>722</v>
      </c>
    </row>
    <row r="228" spans="1:64" x14ac:dyDescent="0.25">
      <c r="A228" s="17"/>
      <c r="C228" s="148" t="s">
        <v>640</v>
      </c>
      <c r="D228" s="149"/>
      <c r="E228" s="149"/>
      <c r="F228" s="149"/>
      <c r="G228" s="149"/>
      <c r="I228" s="77">
        <v>30</v>
      </c>
      <c r="L228" s="14"/>
      <c r="M228" s="17"/>
    </row>
    <row r="229" spans="1:64" x14ac:dyDescent="0.25">
      <c r="A229" s="17"/>
      <c r="C229" s="148" t="s">
        <v>642</v>
      </c>
      <c r="D229" s="149"/>
      <c r="E229" s="149"/>
      <c r="F229" s="149"/>
      <c r="G229" s="149"/>
      <c r="I229" s="77">
        <v>0.9</v>
      </c>
      <c r="J229" s="84"/>
      <c r="L229" s="14"/>
      <c r="M229" s="17"/>
    </row>
    <row r="230" spans="1:64" x14ac:dyDescent="0.25">
      <c r="A230" s="35" t="s">
        <v>147</v>
      </c>
      <c r="B230" s="43" t="s">
        <v>332</v>
      </c>
      <c r="C230" s="159" t="s">
        <v>658</v>
      </c>
      <c r="D230" s="160"/>
      <c r="E230" s="160"/>
      <c r="F230" s="160"/>
      <c r="G230" s="160"/>
      <c r="H230" s="43" t="s">
        <v>895</v>
      </c>
      <c r="I230" s="78">
        <f>'Stavební rozpočet'!I230</f>
        <v>30.5</v>
      </c>
      <c r="J230" s="61"/>
      <c r="K230" s="61">
        <f>I230*J230</f>
        <v>0</v>
      </c>
      <c r="L230" s="54" t="s">
        <v>906</v>
      </c>
      <c r="M230" s="17"/>
      <c r="Z230" s="28">
        <f>IF(AQ230="5",BJ230,0)</f>
        <v>0</v>
      </c>
      <c r="AB230" s="28">
        <f>IF(AQ230="1",BH230,0)</f>
        <v>0</v>
      </c>
      <c r="AC230" s="28">
        <f>IF(AQ230="1",BI230,0)</f>
        <v>0</v>
      </c>
      <c r="AD230" s="28">
        <f>IF(AQ230="7",BH230,0)</f>
        <v>0</v>
      </c>
      <c r="AE230" s="28">
        <f>IF(AQ230="7",BI230,0)</f>
        <v>0</v>
      </c>
      <c r="AF230" s="28">
        <f>IF(AQ230="2",BH230,0)</f>
        <v>0</v>
      </c>
      <c r="AG230" s="28">
        <f>IF(AQ230="2",BI230,0)</f>
        <v>0</v>
      </c>
      <c r="AH230" s="28">
        <f>IF(AQ230="0",BJ230,0)</f>
        <v>0</v>
      </c>
      <c r="AI230" s="56" t="s">
        <v>72</v>
      </c>
      <c r="AJ230" s="61">
        <f>IF(AN230=0,K230,0)</f>
        <v>0</v>
      </c>
      <c r="AK230" s="61">
        <f>IF(AN230=15,K230,0)</f>
        <v>0</v>
      </c>
      <c r="AL230" s="61">
        <f>IF(AN230=21,K230,0)</f>
        <v>0</v>
      </c>
      <c r="AN230" s="28">
        <v>21</v>
      </c>
      <c r="AO230" s="28">
        <f>J230*1</f>
        <v>0</v>
      </c>
      <c r="AP230" s="28">
        <f>J230*(1-1)</f>
        <v>0</v>
      </c>
      <c r="AQ230" s="58" t="s">
        <v>88</v>
      </c>
      <c r="AV230" s="28">
        <f>AW230+AX230</f>
        <v>0</v>
      </c>
      <c r="AW230" s="28">
        <f>I230*AO230</f>
        <v>0</v>
      </c>
      <c r="AX230" s="28">
        <f>I230*AP230</f>
        <v>0</v>
      </c>
      <c r="AY230" s="59" t="s">
        <v>931</v>
      </c>
      <c r="AZ230" s="59" t="s">
        <v>959</v>
      </c>
      <c r="BA230" s="56" t="s">
        <v>966</v>
      </c>
      <c r="BC230" s="28">
        <f>AW230+AX230</f>
        <v>0</v>
      </c>
      <c r="BD230" s="28">
        <f>J230/(100-BE230)*100</f>
        <v>0</v>
      </c>
      <c r="BE230" s="28">
        <v>0</v>
      </c>
      <c r="BF230" s="28">
        <f>230</f>
        <v>230</v>
      </c>
      <c r="BH230" s="61">
        <f>I230*AO230</f>
        <v>0</v>
      </c>
      <c r="BI230" s="61">
        <f>I230*AP230</f>
        <v>0</v>
      </c>
      <c r="BJ230" s="61">
        <f>I230*J230</f>
        <v>0</v>
      </c>
      <c r="BK230" s="61" t="s">
        <v>972</v>
      </c>
      <c r="BL230" s="28">
        <v>722</v>
      </c>
    </row>
    <row r="231" spans="1:64" x14ac:dyDescent="0.25">
      <c r="A231" s="17"/>
      <c r="C231" s="148" t="s">
        <v>644</v>
      </c>
      <c r="D231" s="149"/>
      <c r="E231" s="149"/>
      <c r="F231" s="149"/>
      <c r="G231" s="149"/>
      <c r="I231" s="77">
        <v>30.5</v>
      </c>
      <c r="J231" s="84"/>
      <c r="L231" s="14"/>
      <c r="M231" s="17"/>
    </row>
    <row r="232" spans="1:64" x14ac:dyDescent="0.25">
      <c r="A232" s="17"/>
      <c r="C232" s="148" t="s">
        <v>646</v>
      </c>
      <c r="D232" s="149"/>
      <c r="E232" s="149"/>
      <c r="F232" s="149"/>
      <c r="G232" s="149"/>
      <c r="I232" s="77">
        <v>0</v>
      </c>
      <c r="J232" s="84"/>
      <c r="L232" s="14"/>
      <c r="M232" s="17"/>
    </row>
    <row r="233" spans="1:64" x14ac:dyDescent="0.25">
      <c r="A233" s="35" t="s">
        <v>148</v>
      </c>
      <c r="B233" s="43" t="s">
        <v>333</v>
      </c>
      <c r="C233" s="159" t="s">
        <v>659</v>
      </c>
      <c r="D233" s="160"/>
      <c r="E233" s="160"/>
      <c r="F233" s="160"/>
      <c r="G233" s="160"/>
      <c r="H233" s="43" t="s">
        <v>895</v>
      </c>
      <c r="I233" s="78">
        <f>'Stavební rozpočet'!I233</f>
        <v>7.2</v>
      </c>
      <c r="J233" s="61"/>
      <c r="K233" s="61">
        <f>I233*J233</f>
        <v>0</v>
      </c>
      <c r="L233" s="54" t="s">
        <v>906</v>
      </c>
      <c r="M233" s="17"/>
      <c r="Z233" s="28">
        <f>IF(AQ233="5",BJ233,0)</f>
        <v>0</v>
      </c>
      <c r="AB233" s="28">
        <f>IF(AQ233="1",BH233,0)</f>
        <v>0</v>
      </c>
      <c r="AC233" s="28">
        <f>IF(AQ233="1",BI233,0)</f>
        <v>0</v>
      </c>
      <c r="AD233" s="28">
        <f>IF(AQ233="7",BH233,0)</f>
        <v>0</v>
      </c>
      <c r="AE233" s="28">
        <f>IF(AQ233="7",BI233,0)</f>
        <v>0</v>
      </c>
      <c r="AF233" s="28">
        <f>IF(AQ233="2",BH233,0)</f>
        <v>0</v>
      </c>
      <c r="AG233" s="28">
        <f>IF(AQ233="2",BI233,0)</f>
        <v>0</v>
      </c>
      <c r="AH233" s="28">
        <f>IF(AQ233="0",BJ233,0)</f>
        <v>0</v>
      </c>
      <c r="AI233" s="56" t="s">
        <v>72</v>
      </c>
      <c r="AJ233" s="61">
        <f>IF(AN233=0,K233,0)</f>
        <v>0</v>
      </c>
      <c r="AK233" s="61">
        <f>IF(AN233=15,K233,0)</f>
        <v>0</v>
      </c>
      <c r="AL233" s="61">
        <f>IF(AN233=21,K233,0)</f>
        <v>0</v>
      </c>
      <c r="AN233" s="28">
        <v>21</v>
      </c>
      <c r="AO233" s="28">
        <f>J233*1</f>
        <v>0</v>
      </c>
      <c r="AP233" s="28">
        <f>J233*(1-1)</f>
        <v>0</v>
      </c>
      <c r="AQ233" s="58" t="s">
        <v>88</v>
      </c>
      <c r="AV233" s="28">
        <f>AW233+AX233</f>
        <v>0</v>
      </c>
      <c r="AW233" s="28">
        <f>I233*AO233</f>
        <v>0</v>
      </c>
      <c r="AX233" s="28">
        <f>I233*AP233</f>
        <v>0</v>
      </c>
      <c r="AY233" s="59" t="s">
        <v>931</v>
      </c>
      <c r="AZ233" s="59" t="s">
        <v>959</v>
      </c>
      <c r="BA233" s="56" t="s">
        <v>966</v>
      </c>
      <c r="BC233" s="28">
        <f>AW233+AX233</f>
        <v>0</v>
      </c>
      <c r="BD233" s="28">
        <f>J233/(100-BE233)*100</f>
        <v>0</v>
      </c>
      <c r="BE233" s="28">
        <v>0</v>
      </c>
      <c r="BF233" s="28">
        <f>233</f>
        <v>233</v>
      </c>
      <c r="BH233" s="61">
        <f>I233*AO233</f>
        <v>0</v>
      </c>
      <c r="BI233" s="61">
        <f>I233*AP233</f>
        <v>0</v>
      </c>
      <c r="BJ233" s="61">
        <f>I233*J233</f>
        <v>0</v>
      </c>
      <c r="BK233" s="61" t="s">
        <v>972</v>
      </c>
      <c r="BL233" s="28">
        <v>722</v>
      </c>
    </row>
    <row r="234" spans="1:64" x14ac:dyDescent="0.25">
      <c r="A234" s="17"/>
      <c r="C234" s="148" t="s">
        <v>648</v>
      </c>
      <c r="D234" s="149"/>
      <c r="E234" s="149"/>
      <c r="F234" s="149"/>
      <c r="G234" s="149"/>
      <c r="I234" s="77">
        <v>7.2</v>
      </c>
      <c r="J234" s="84"/>
      <c r="L234" s="14"/>
      <c r="M234" s="17"/>
    </row>
    <row r="235" spans="1:64" x14ac:dyDescent="0.25">
      <c r="A235" s="17"/>
      <c r="C235" s="148" t="s">
        <v>646</v>
      </c>
      <c r="D235" s="149"/>
      <c r="E235" s="149"/>
      <c r="F235" s="149"/>
      <c r="G235" s="149"/>
      <c r="I235" s="77">
        <v>0</v>
      </c>
      <c r="J235" s="84"/>
      <c r="L235" s="14"/>
      <c r="M235" s="17"/>
    </row>
    <row r="236" spans="1:64" x14ac:dyDescent="0.25">
      <c r="A236" s="34" t="s">
        <v>149</v>
      </c>
      <c r="B236" s="41" t="s">
        <v>334</v>
      </c>
      <c r="C236" s="146" t="s">
        <v>660</v>
      </c>
      <c r="D236" s="147"/>
      <c r="E236" s="147"/>
      <c r="F236" s="147"/>
      <c r="G236" s="147"/>
      <c r="H236" s="41" t="s">
        <v>895</v>
      </c>
      <c r="I236" s="76">
        <f>'Stavební rozpočet'!I236</f>
        <v>16</v>
      </c>
      <c r="J236" s="60"/>
      <c r="K236" s="60">
        <f>I236*J236</f>
        <v>0</v>
      </c>
      <c r="L236" s="53" t="s">
        <v>906</v>
      </c>
      <c r="M236" s="17"/>
      <c r="Z236" s="28">
        <f>IF(AQ236="5",BJ236,0)</f>
        <v>0</v>
      </c>
      <c r="AB236" s="28">
        <f>IF(AQ236="1",BH236,0)</f>
        <v>0</v>
      </c>
      <c r="AC236" s="28">
        <f>IF(AQ236="1",BI236,0)</f>
        <v>0</v>
      </c>
      <c r="AD236" s="28">
        <f>IF(AQ236="7",BH236,0)</f>
        <v>0</v>
      </c>
      <c r="AE236" s="28">
        <f>IF(AQ236="7",BI236,0)</f>
        <v>0</v>
      </c>
      <c r="AF236" s="28">
        <f>IF(AQ236="2",BH236,0)</f>
        <v>0</v>
      </c>
      <c r="AG236" s="28">
        <f>IF(AQ236="2",BI236,0)</f>
        <v>0</v>
      </c>
      <c r="AH236" s="28">
        <f>IF(AQ236="0",BJ236,0)</f>
        <v>0</v>
      </c>
      <c r="AI236" s="56" t="s">
        <v>72</v>
      </c>
      <c r="AJ236" s="60">
        <f>IF(AN236=0,K236,0)</f>
        <v>0</v>
      </c>
      <c r="AK236" s="60">
        <f>IF(AN236=15,K236,0)</f>
        <v>0</v>
      </c>
      <c r="AL236" s="60">
        <f>IF(AN236=21,K236,0)</f>
        <v>0</v>
      </c>
      <c r="AN236" s="28">
        <v>21</v>
      </c>
      <c r="AO236" s="28">
        <f>J236*0</f>
        <v>0</v>
      </c>
      <c r="AP236" s="28">
        <f>J236*(1-0)</f>
        <v>0</v>
      </c>
      <c r="AQ236" s="57" t="s">
        <v>88</v>
      </c>
      <c r="AV236" s="28">
        <f>AW236+AX236</f>
        <v>0</v>
      </c>
      <c r="AW236" s="28">
        <f>I236*AO236</f>
        <v>0</v>
      </c>
      <c r="AX236" s="28">
        <f>I236*AP236</f>
        <v>0</v>
      </c>
      <c r="AY236" s="59" t="s">
        <v>931</v>
      </c>
      <c r="AZ236" s="59" t="s">
        <v>959</v>
      </c>
      <c r="BA236" s="56" t="s">
        <v>966</v>
      </c>
      <c r="BC236" s="28">
        <f>AW236+AX236</f>
        <v>0</v>
      </c>
      <c r="BD236" s="28">
        <f>J236/(100-BE236)*100</f>
        <v>0</v>
      </c>
      <c r="BE236" s="28">
        <v>0</v>
      </c>
      <c r="BF236" s="28">
        <f>236</f>
        <v>236</v>
      </c>
      <c r="BH236" s="60">
        <f>I236*AO236</f>
        <v>0</v>
      </c>
      <c r="BI236" s="60">
        <f>I236*AP236</f>
        <v>0</v>
      </c>
      <c r="BJ236" s="60">
        <f>I236*J236</f>
        <v>0</v>
      </c>
      <c r="BK236" s="60" t="s">
        <v>971</v>
      </c>
      <c r="BL236" s="28">
        <v>722</v>
      </c>
    </row>
    <row r="237" spans="1:64" x14ac:dyDescent="0.25">
      <c r="A237" s="17"/>
      <c r="C237" s="148" t="s">
        <v>652</v>
      </c>
      <c r="D237" s="149"/>
      <c r="E237" s="149"/>
      <c r="F237" s="149"/>
      <c r="G237" s="149"/>
      <c r="I237" s="77">
        <v>16</v>
      </c>
      <c r="J237" s="84"/>
      <c r="L237" s="14"/>
      <c r="M237" s="17"/>
    </row>
    <row r="238" spans="1:64" x14ac:dyDescent="0.25">
      <c r="A238" s="35" t="s">
        <v>150</v>
      </c>
      <c r="B238" s="43" t="s">
        <v>335</v>
      </c>
      <c r="C238" s="159" t="s">
        <v>661</v>
      </c>
      <c r="D238" s="160"/>
      <c r="E238" s="160"/>
      <c r="F238" s="160"/>
      <c r="G238" s="160"/>
      <c r="H238" s="43" t="s">
        <v>895</v>
      </c>
      <c r="I238" s="78">
        <f>'Stavební rozpočet'!I238</f>
        <v>16.48</v>
      </c>
      <c r="J238" s="61"/>
      <c r="K238" s="61">
        <f>I238*J238</f>
        <v>0</v>
      </c>
      <c r="L238" s="54" t="s">
        <v>906</v>
      </c>
      <c r="M238" s="17"/>
      <c r="Z238" s="28">
        <f>IF(AQ238="5",BJ238,0)</f>
        <v>0</v>
      </c>
      <c r="AB238" s="28">
        <f>IF(AQ238="1",BH238,0)</f>
        <v>0</v>
      </c>
      <c r="AC238" s="28">
        <f>IF(AQ238="1",BI238,0)</f>
        <v>0</v>
      </c>
      <c r="AD238" s="28">
        <f>IF(AQ238="7",BH238,0)</f>
        <v>0</v>
      </c>
      <c r="AE238" s="28">
        <f>IF(AQ238="7",BI238,0)</f>
        <v>0</v>
      </c>
      <c r="AF238" s="28">
        <f>IF(AQ238="2",BH238,0)</f>
        <v>0</v>
      </c>
      <c r="AG238" s="28">
        <f>IF(AQ238="2",BI238,0)</f>
        <v>0</v>
      </c>
      <c r="AH238" s="28">
        <f>IF(AQ238="0",BJ238,0)</f>
        <v>0</v>
      </c>
      <c r="AI238" s="56" t="s">
        <v>72</v>
      </c>
      <c r="AJ238" s="61">
        <f>IF(AN238=0,K238,0)</f>
        <v>0</v>
      </c>
      <c r="AK238" s="61">
        <f>IF(AN238=15,K238,0)</f>
        <v>0</v>
      </c>
      <c r="AL238" s="61">
        <f>IF(AN238=21,K238,0)</f>
        <v>0</v>
      </c>
      <c r="AN238" s="28">
        <v>21</v>
      </c>
      <c r="AO238" s="28">
        <f>J238*1</f>
        <v>0</v>
      </c>
      <c r="AP238" s="28">
        <f>J238*(1-1)</f>
        <v>0</v>
      </c>
      <c r="AQ238" s="58" t="s">
        <v>88</v>
      </c>
      <c r="AV238" s="28">
        <f>AW238+AX238</f>
        <v>0</v>
      </c>
      <c r="AW238" s="28">
        <f>I238*AO238</f>
        <v>0</v>
      </c>
      <c r="AX238" s="28">
        <f>I238*AP238</f>
        <v>0</v>
      </c>
      <c r="AY238" s="59" t="s">
        <v>931</v>
      </c>
      <c r="AZ238" s="59" t="s">
        <v>959</v>
      </c>
      <c r="BA238" s="56" t="s">
        <v>966</v>
      </c>
      <c r="BC238" s="28">
        <f>AW238+AX238</f>
        <v>0</v>
      </c>
      <c r="BD238" s="28">
        <f>J238/(100-BE238)*100</f>
        <v>0</v>
      </c>
      <c r="BE238" s="28">
        <v>0</v>
      </c>
      <c r="BF238" s="28">
        <f>238</f>
        <v>238</v>
      </c>
      <c r="BH238" s="61">
        <f>I238*AO238</f>
        <v>0</v>
      </c>
      <c r="BI238" s="61">
        <f>I238*AP238</f>
        <v>0</v>
      </c>
      <c r="BJ238" s="61">
        <f>I238*J238</f>
        <v>0</v>
      </c>
      <c r="BK238" s="61" t="s">
        <v>972</v>
      </c>
      <c r="BL238" s="28">
        <v>722</v>
      </c>
    </row>
    <row r="239" spans="1:64" x14ac:dyDescent="0.25">
      <c r="A239" s="17"/>
      <c r="C239" s="148" t="s">
        <v>652</v>
      </c>
      <c r="D239" s="149"/>
      <c r="E239" s="149"/>
      <c r="F239" s="149"/>
      <c r="G239" s="149"/>
      <c r="I239" s="77">
        <v>16</v>
      </c>
      <c r="J239" s="84"/>
      <c r="L239" s="14"/>
      <c r="M239" s="17"/>
    </row>
    <row r="240" spans="1:64" x14ac:dyDescent="0.25">
      <c r="A240" s="17"/>
      <c r="C240" s="148" t="s">
        <v>654</v>
      </c>
      <c r="D240" s="149"/>
      <c r="E240" s="149"/>
      <c r="F240" s="149"/>
      <c r="G240" s="149"/>
      <c r="I240" s="77">
        <v>0.48</v>
      </c>
      <c r="L240" s="14"/>
      <c r="M240" s="17"/>
    </row>
    <row r="241" spans="1:64" x14ac:dyDescent="0.25">
      <c r="A241" s="34" t="s">
        <v>151</v>
      </c>
      <c r="B241" s="41" t="s">
        <v>336</v>
      </c>
      <c r="C241" s="146" t="s">
        <v>662</v>
      </c>
      <c r="D241" s="147"/>
      <c r="E241" s="147"/>
      <c r="F241" s="147"/>
      <c r="G241" s="147"/>
      <c r="H241" s="41" t="s">
        <v>895</v>
      </c>
      <c r="I241" s="76">
        <f>'Stavební rozpočet'!I241</f>
        <v>83.7</v>
      </c>
      <c r="J241" s="60"/>
      <c r="K241" s="60">
        <f>I241*J241</f>
        <v>0</v>
      </c>
      <c r="L241" s="53" t="s">
        <v>906</v>
      </c>
      <c r="M241" s="17"/>
      <c r="Z241" s="28">
        <f>IF(AQ241="5",BJ241,0)</f>
        <v>0</v>
      </c>
      <c r="AB241" s="28">
        <f>IF(AQ241="1",BH241,0)</f>
        <v>0</v>
      </c>
      <c r="AC241" s="28">
        <f>IF(AQ241="1",BI241,0)</f>
        <v>0</v>
      </c>
      <c r="AD241" s="28">
        <f>IF(AQ241="7",BH241,0)</f>
        <v>0</v>
      </c>
      <c r="AE241" s="28">
        <f>IF(AQ241="7",BI241,0)</f>
        <v>0</v>
      </c>
      <c r="AF241" s="28">
        <f>IF(AQ241="2",BH241,0)</f>
        <v>0</v>
      </c>
      <c r="AG241" s="28">
        <f>IF(AQ241="2",BI241,0)</f>
        <v>0</v>
      </c>
      <c r="AH241" s="28">
        <f>IF(AQ241="0",BJ241,0)</f>
        <v>0</v>
      </c>
      <c r="AI241" s="56" t="s">
        <v>72</v>
      </c>
      <c r="AJ241" s="60">
        <f>IF(AN241=0,K241,0)</f>
        <v>0</v>
      </c>
      <c r="AK241" s="60">
        <f>IF(AN241=15,K241,0)</f>
        <v>0</v>
      </c>
      <c r="AL241" s="60">
        <f>IF(AN241=21,K241,0)</f>
        <v>0</v>
      </c>
      <c r="AN241" s="28">
        <v>21</v>
      </c>
      <c r="AO241" s="28">
        <f>J241*0.190299453395002</f>
        <v>0</v>
      </c>
      <c r="AP241" s="28">
        <f>J241*(1-0.190299453395002)</f>
        <v>0</v>
      </c>
      <c r="AQ241" s="57" t="s">
        <v>88</v>
      </c>
      <c r="AV241" s="28">
        <f>AW241+AX241</f>
        <v>0</v>
      </c>
      <c r="AW241" s="28">
        <f>I241*AO241</f>
        <v>0</v>
      </c>
      <c r="AX241" s="28">
        <f>I241*AP241</f>
        <v>0</v>
      </c>
      <c r="AY241" s="59" t="s">
        <v>931</v>
      </c>
      <c r="AZ241" s="59" t="s">
        <v>959</v>
      </c>
      <c r="BA241" s="56" t="s">
        <v>966</v>
      </c>
      <c r="BC241" s="28">
        <f>AW241+AX241</f>
        <v>0</v>
      </c>
      <c r="BD241" s="28">
        <f>J241/(100-BE241)*100</f>
        <v>0</v>
      </c>
      <c r="BE241" s="28">
        <v>0</v>
      </c>
      <c r="BF241" s="28">
        <f>241</f>
        <v>241</v>
      </c>
      <c r="BH241" s="60">
        <f>I241*AO241</f>
        <v>0</v>
      </c>
      <c r="BI241" s="60">
        <f>I241*AP241</f>
        <v>0</v>
      </c>
      <c r="BJ241" s="60">
        <f>I241*J241</f>
        <v>0</v>
      </c>
      <c r="BK241" s="60" t="s">
        <v>971</v>
      </c>
      <c r="BL241" s="28">
        <v>722</v>
      </c>
    </row>
    <row r="242" spans="1:64" x14ac:dyDescent="0.25">
      <c r="A242" s="17"/>
      <c r="C242" s="148" t="s">
        <v>663</v>
      </c>
      <c r="D242" s="149"/>
      <c r="E242" s="149"/>
      <c r="F242" s="149"/>
      <c r="G242" s="149"/>
      <c r="I242" s="77">
        <v>83.7</v>
      </c>
      <c r="J242" s="84"/>
      <c r="L242" s="14"/>
      <c r="M242" s="17"/>
    </row>
    <row r="243" spans="1:64" x14ac:dyDescent="0.25">
      <c r="A243" s="34" t="s">
        <v>152</v>
      </c>
      <c r="B243" s="41" t="s">
        <v>337</v>
      </c>
      <c r="C243" s="146" t="s">
        <v>664</v>
      </c>
      <c r="D243" s="147"/>
      <c r="E243" s="147"/>
      <c r="F243" s="147"/>
      <c r="G243" s="147"/>
      <c r="H243" s="41" t="s">
        <v>893</v>
      </c>
      <c r="I243" s="76">
        <f>'Stavební rozpočet'!I243</f>
        <v>0.04</v>
      </c>
      <c r="J243" s="60"/>
      <c r="K243" s="60">
        <f>I243*J243</f>
        <v>0</v>
      </c>
      <c r="L243" s="53" t="s">
        <v>906</v>
      </c>
      <c r="M243" s="17"/>
      <c r="Z243" s="28">
        <f>IF(AQ243="5",BJ243,0)</f>
        <v>0</v>
      </c>
      <c r="AB243" s="28">
        <f>IF(AQ243="1",BH243,0)</f>
        <v>0</v>
      </c>
      <c r="AC243" s="28">
        <f>IF(AQ243="1",BI243,0)</f>
        <v>0</v>
      </c>
      <c r="AD243" s="28">
        <f>IF(AQ243="7",BH243,0)</f>
        <v>0</v>
      </c>
      <c r="AE243" s="28">
        <f>IF(AQ243="7",BI243,0)</f>
        <v>0</v>
      </c>
      <c r="AF243" s="28">
        <f>IF(AQ243="2",BH243,0)</f>
        <v>0</v>
      </c>
      <c r="AG243" s="28">
        <f>IF(AQ243="2",BI243,0)</f>
        <v>0</v>
      </c>
      <c r="AH243" s="28">
        <f>IF(AQ243="0",BJ243,0)</f>
        <v>0</v>
      </c>
      <c r="AI243" s="56" t="s">
        <v>72</v>
      </c>
      <c r="AJ243" s="60">
        <f>IF(AN243=0,K243,0)</f>
        <v>0</v>
      </c>
      <c r="AK243" s="60">
        <f>IF(AN243=15,K243,0)</f>
        <v>0</v>
      </c>
      <c r="AL243" s="60">
        <f>IF(AN243=21,K243,0)</f>
        <v>0</v>
      </c>
      <c r="AN243" s="28">
        <v>21</v>
      </c>
      <c r="AO243" s="28">
        <f>J243*0</f>
        <v>0</v>
      </c>
      <c r="AP243" s="28">
        <f>J243*(1-0)</f>
        <v>0</v>
      </c>
      <c r="AQ243" s="57" t="s">
        <v>86</v>
      </c>
      <c r="AV243" s="28">
        <f>AW243+AX243</f>
        <v>0</v>
      </c>
      <c r="AW243" s="28">
        <f>I243*AO243</f>
        <v>0</v>
      </c>
      <c r="AX243" s="28">
        <f>I243*AP243</f>
        <v>0</v>
      </c>
      <c r="AY243" s="59" t="s">
        <v>931</v>
      </c>
      <c r="AZ243" s="59" t="s">
        <v>959</v>
      </c>
      <c r="BA243" s="56" t="s">
        <v>966</v>
      </c>
      <c r="BC243" s="28">
        <f>AW243+AX243</f>
        <v>0</v>
      </c>
      <c r="BD243" s="28">
        <f>J243/(100-BE243)*100</f>
        <v>0</v>
      </c>
      <c r="BE243" s="28">
        <v>0</v>
      </c>
      <c r="BF243" s="28">
        <f>243</f>
        <v>243</v>
      </c>
      <c r="BH243" s="60">
        <f>I243*AO243</f>
        <v>0</v>
      </c>
      <c r="BI243" s="60">
        <f>I243*AP243</f>
        <v>0</v>
      </c>
      <c r="BJ243" s="60">
        <f>I243*J243</f>
        <v>0</v>
      </c>
      <c r="BK243" s="60" t="s">
        <v>971</v>
      </c>
      <c r="BL243" s="28">
        <v>722</v>
      </c>
    </row>
    <row r="244" spans="1:64" x14ac:dyDescent="0.25">
      <c r="A244" s="33"/>
      <c r="B244" s="40" t="s">
        <v>338</v>
      </c>
      <c r="C244" s="144" t="s">
        <v>665</v>
      </c>
      <c r="D244" s="145"/>
      <c r="E244" s="145"/>
      <c r="F244" s="145"/>
      <c r="G244" s="145"/>
      <c r="H244" s="46" t="s">
        <v>58</v>
      </c>
      <c r="I244" s="46" t="s">
        <v>58</v>
      </c>
      <c r="J244" s="46" t="s">
        <v>58</v>
      </c>
      <c r="K244" s="65">
        <f>SUM(K245:K258)</f>
        <v>0</v>
      </c>
      <c r="L244" s="52"/>
      <c r="M244" s="17"/>
      <c r="AI244" s="56" t="s">
        <v>72</v>
      </c>
      <c r="AS244" s="65">
        <f>SUM(AJ245:AJ258)</f>
        <v>0</v>
      </c>
      <c r="AT244" s="65">
        <f>SUM(AK245:AK258)</f>
        <v>0</v>
      </c>
      <c r="AU244" s="65">
        <f>SUM(AL245:AL258)</f>
        <v>0</v>
      </c>
    </row>
    <row r="245" spans="1:64" x14ac:dyDescent="0.25">
      <c r="A245" s="34" t="s">
        <v>153</v>
      </c>
      <c r="B245" s="41" t="s">
        <v>339</v>
      </c>
      <c r="C245" s="146" t="s">
        <v>666</v>
      </c>
      <c r="D245" s="147"/>
      <c r="E245" s="147"/>
      <c r="F245" s="147"/>
      <c r="G245" s="147"/>
      <c r="H245" s="41" t="s">
        <v>896</v>
      </c>
      <c r="I245" s="76">
        <f>'Stavební rozpočet'!I245</f>
        <v>3</v>
      </c>
      <c r="J245" s="60"/>
      <c r="K245" s="60">
        <f>I245*J245</f>
        <v>0</v>
      </c>
      <c r="L245" s="53" t="s">
        <v>906</v>
      </c>
      <c r="M245" s="17"/>
      <c r="Z245" s="28">
        <f>IF(AQ245="5",BJ245,0)</f>
        <v>0</v>
      </c>
      <c r="AB245" s="28">
        <f>IF(AQ245="1",BH245,0)</f>
        <v>0</v>
      </c>
      <c r="AC245" s="28">
        <f>IF(AQ245="1",BI245,0)</f>
        <v>0</v>
      </c>
      <c r="AD245" s="28">
        <f>IF(AQ245="7",BH245,0)</f>
        <v>0</v>
      </c>
      <c r="AE245" s="28">
        <f>IF(AQ245="7",BI245,0)</f>
        <v>0</v>
      </c>
      <c r="AF245" s="28">
        <f>IF(AQ245="2",BH245,0)</f>
        <v>0</v>
      </c>
      <c r="AG245" s="28">
        <f>IF(AQ245="2",BI245,0)</f>
        <v>0</v>
      </c>
      <c r="AH245" s="28">
        <f>IF(AQ245="0",BJ245,0)</f>
        <v>0</v>
      </c>
      <c r="AI245" s="56" t="s">
        <v>72</v>
      </c>
      <c r="AJ245" s="60">
        <f>IF(AN245=0,K245,0)</f>
        <v>0</v>
      </c>
      <c r="AK245" s="60">
        <f>IF(AN245=15,K245,0)</f>
        <v>0</v>
      </c>
      <c r="AL245" s="60">
        <f>IF(AN245=21,K245,0)</f>
        <v>0</v>
      </c>
      <c r="AN245" s="28">
        <v>21</v>
      </c>
      <c r="AO245" s="28">
        <f>J245*0.22315445026178</f>
        <v>0</v>
      </c>
      <c r="AP245" s="28">
        <f>J245*(1-0.22315445026178)</f>
        <v>0</v>
      </c>
      <c r="AQ245" s="57" t="s">
        <v>88</v>
      </c>
      <c r="AV245" s="28">
        <f>AW245+AX245</f>
        <v>0</v>
      </c>
      <c r="AW245" s="28">
        <f>I245*AO245</f>
        <v>0</v>
      </c>
      <c r="AX245" s="28">
        <f>I245*AP245</f>
        <v>0</v>
      </c>
      <c r="AY245" s="59" t="s">
        <v>932</v>
      </c>
      <c r="AZ245" s="59" t="s">
        <v>959</v>
      </c>
      <c r="BA245" s="56" t="s">
        <v>966</v>
      </c>
      <c r="BC245" s="28">
        <f>AW245+AX245</f>
        <v>0</v>
      </c>
      <c r="BD245" s="28">
        <f>J245/(100-BE245)*100</f>
        <v>0</v>
      </c>
      <c r="BE245" s="28">
        <v>0</v>
      </c>
      <c r="BF245" s="28">
        <f>245</f>
        <v>245</v>
      </c>
      <c r="BH245" s="60">
        <f>I245*AO245</f>
        <v>0</v>
      </c>
      <c r="BI245" s="60">
        <f>I245*AP245</f>
        <v>0</v>
      </c>
      <c r="BJ245" s="60">
        <f>I245*J245</f>
        <v>0</v>
      </c>
      <c r="BK245" s="60" t="s">
        <v>971</v>
      </c>
      <c r="BL245" s="28">
        <v>725</v>
      </c>
    </row>
    <row r="246" spans="1:64" x14ac:dyDescent="0.25">
      <c r="A246" s="17"/>
      <c r="C246" s="148" t="s">
        <v>667</v>
      </c>
      <c r="D246" s="149"/>
      <c r="E246" s="149"/>
      <c r="F246" s="149"/>
      <c r="G246" s="149"/>
      <c r="I246" s="77">
        <v>3</v>
      </c>
      <c r="J246" s="84"/>
      <c r="L246" s="14"/>
      <c r="M246" s="17"/>
    </row>
    <row r="247" spans="1:64" x14ac:dyDescent="0.25">
      <c r="A247" s="34" t="s">
        <v>154</v>
      </c>
      <c r="B247" s="41" t="s">
        <v>340</v>
      </c>
      <c r="C247" s="146" t="s">
        <v>668</v>
      </c>
      <c r="D247" s="147"/>
      <c r="E247" s="147"/>
      <c r="F247" s="147"/>
      <c r="G247" s="147"/>
      <c r="H247" s="41" t="s">
        <v>897</v>
      </c>
      <c r="I247" s="76">
        <f>'Stavební rozpočet'!I247</f>
        <v>3</v>
      </c>
      <c r="J247" s="60"/>
      <c r="K247" s="60">
        <f>I247*J247</f>
        <v>0</v>
      </c>
      <c r="L247" s="53" t="s">
        <v>906</v>
      </c>
      <c r="M247" s="17"/>
      <c r="Z247" s="28">
        <f>IF(AQ247="5",BJ247,0)</f>
        <v>0</v>
      </c>
      <c r="AB247" s="28">
        <f>IF(AQ247="1",BH247,0)</f>
        <v>0</v>
      </c>
      <c r="AC247" s="28">
        <f>IF(AQ247="1",BI247,0)</f>
        <v>0</v>
      </c>
      <c r="AD247" s="28">
        <f>IF(AQ247="7",BH247,0)</f>
        <v>0</v>
      </c>
      <c r="AE247" s="28">
        <f>IF(AQ247="7",BI247,0)</f>
        <v>0</v>
      </c>
      <c r="AF247" s="28">
        <f>IF(AQ247="2",BH247,0)</f>
        <v>0</v>
      </c>
      <c r="AG247" s="28">
        <f>IF(AQ247="2",BI247,0)</f>
        <v>0</v>
      </c>
      <c r="AH247" s="28">
        <f>IF(AQ247="0",BJ247,0)</f>
        <v>0</v>
      </c>
      <c r="AI247" s="56" t="s">
        <v>72</v>
      </c>
      <c r="AJ247" s="60">
        <f>IF(AN247=0,K247,0)</f>
        <v>0</v>
      </c>
      <c r="AK247" s="60">
        <f>IF(AN247=15,K247,0)</f>
        <v>0</v>
      </c>
      <c r="AL247" s="60">
        <f>IF(AN247=21,K247,0)</f>
        <v>0</v>
      </c>
      <c r="AN247" s="28">
        <v>21</v>
      </c>
      <c r="AO247" s="28">
        <f>J247*1</f>
        <v>0</v>
      </c>
      <c r="AP247" s="28">
        <f>J247*(1-1)</f>
        <v>0</v>
      </c>
      <c r="AQ247" s="57" t="s">
        <v>88</v>
      </c>
      <c r="AV247" s="28">
        <f>AW247+AX247</f>
        <v>0</v>
      </c>
      <c r="AW247" s="28">
        <f>I247*AO247</f>
        <v>0</v>
      </c>
      <c r="AX247" s="28">
        <f>I247*AP247</f>
        <v>0</v>
      </c>
      <c r="AY247" s="59" t="s">
        <v>932</v>
      </c>
      <c r="AZ247" s="59" t="s">
        <v>959</v>
      </c>
      <c r="BA247" s="56" t="s">
        <v>966</v>
      </c>
      <c r="BC247" s="28">
        <f>AW247+AX247</f>
        <v>0</v>
      </c>
      <c r="BD247" s="28">
        <f>J247/(100-BE247)*100</f>
        <v>0</v>
      </c>
      <c r="BE247" s="28">
        <v>0</v>
      </c>
      <c r="BF247" s="28">
        <f>247</f>
        <v>247</v>
      </c>
      <c r="BH247" s="60">
        <f>I247*AO247</f>
        <v>0</v>
      </c>
      <c r="BI247" s="60">
        <f>I247*AP247</f>
        <v>0</v>
      </c>
      <c r="BJ247" s="60">
        <f>I247*J247</f>
        <v>0</v>
      </c>
      <c r="BK247" s="60" t="s">
        <v>971</v>
      </c>
      <c r="BL247" s="28">
        <v>725</v>
      </c>
    </row>
    <row r="248" spans="1:64" x14ac:dyDescent="0.25">
      <c r="A248" s="17"/>
      <c r="C248" s="148" t="s">
        <v>669</v>
      </c>
      <c r="D248" s="149"/>
      <c r="E248" s="149"/>
      <c r="F248" s="149"/>
      <c r="G248" s="149"/>
      <c r="I248" s="77">
        <v>2</v>
      </c>
      <c r="J248" s="84"/>
      <c r="L248" s="14"/>
      <c r="M248" s="17"/>
    </row>
    <row r="249" spans="1:64" x14ac:dyDescent="0.25">
      <c r="A249" s="17"/>
      <c r="C249" s="148" t="s">
        <v>670</v>
      </c>
      <c r="D249" s="149"/>
      <c r="E249" s="149"/>
      <c r="F249" s="149"/>
      <c r="G249" s="149"/>
      <c r="I249" s="77">
        <v>1</v>
      </c>
      <c r="J249" s="84"/>
      <c r="L249" s="14"/>
      <c r="M249" s="17"/>
    </row>
    <row r="250" spans="1:64" x14ac:dyDescent="0.25">
      <c r="A250" s="34" t="s">
        <v>155</v>
      </c>
      <c r="B250" s="41" t="s">
        <v>341</v>
      </c>
      <c r="C250" s="146" t="s">
        <v>671</v>
      </c>
      <c r="D250" s="147"/>
      <c r="E250" s="147"/>
      <c r="F250" s="147"/>
      <c r="G250" s="147"/>
      <c r="H250" s="41" t="s">
        <v>896</v>
      </c>
      <c r="I250" s="76">
        <f>'Stavební rozpočet'!I250</f>
        <v>3</v>
      </c>
      <c r="J250" s="60"/>
      <c r="K250" s="60">
        <f t="shared" ref="K250:K258" si="0">I250*J250</f>
        <v>0</v>
      </c>
      <c r="L250" s="53" t="s">
        <v>906</v>
      </c>
      <c r="M250" s="17"/>
      <c r="Z250" s="28">
        <f t="shared" ref="Z250:Z258" si="1">IF(AQ250="5",BJ250,0)</f>
        <v>0</v>
      </c>
      <c r="AB250" s="28">
        <f t="shared" ref="AB250:AB258" si="2">IF(AQ250="1",BH250,0)</f>
        <v>0</v>
      </c>
      <c r="AC250" s="28">
        <f t="shared" ref="AC250:AC258" si="3">IF(AQ250="1",BI250,0)</f>
        <v>0</v>
      </c>
      <c r="AD250" s="28">
        <f t="shared" ref="AD250:AD258" si="4">IF(AQ250="7",BH250,0)</f>
        <v>0</v>
      </c>
      <c r="AE250" s="28">
        <f t="shared" ref="AE250:AE258" si="5">IF(AQ250="7",BI250,0)</f>
        <v>0</v>
      </c>
      <c r="AF250" s="28">
        <f t="shared" ref="AF250:AF258" si="6">IF(AQ250="2",BH250,0)</f>
        <v>0</v>
      </c>
      <c r="AG250" s="28">
        <f t="shared" ref="AG250:AG258" si="7">IF(AQ250="2",BI250,0)</f>
        <v>0</v>
      </c>
      <c r="AH250" s="28">
        <f t="shared" ref="AH250:AH258" si="8">IF(AQ250="0",BJ250,0)</f>
        <v>0</v>
      </c>
      <c r="AI250" s="56" t="s">
        <v>72</v>
      </c>
      <c r="AJ250" s="60">
        <f t="shared" ref="AJ250:AJ258" si="9">IF(AN250=0,K250,0)</f>
        <v>0</v>
      </c>
      <c r="AK250" s="60">
        <f t="shared" ref="AK250:AK258" si="10">IF(AN250=15,K250,0)</f>
        <v>0</v>
      </c>
      <c r="AL250" s="60">
        <f t="shared" ref="AL250:AL258" si="11">IF(AN250=21,K250,0)</f>
        <v>0</v>
      </c>
      <c r="AN250" s="28">
        <v>21</v>
      </c>
      <c r="AO250" s="28">
        <f>J250*0.878585179526356</f>
        <v>0</v>
      </c>
      <c r="AP250" s="28">
        <f>J250*(1-0.878585179526356)</f>
        <v>0</v>
      </c>
      <c r="AQ250" s="57" t="s">
        <v>88</v>
      </c>
      <c r="AV250" s="28">
        <f t="shared" ref="AV250:AV258" si="12">AW250+AX250</f>
        <v>0</v>
      </c>
      <c r="AW250" s="28">
        <f t="shared" ref="AW250:AW258" si="13">I250*AO250</f>
        <v>0</v>
      </c>
      <c r="AX250" s="28">
        <f t="shared" ref="AX250:AX258" si="14">I250*AP250</f>
        <v>0</v>
      </c>
      <c r="AY250" s="59" t="s">
        <v>932</v>
      </c>
      <c r="AZ250" s="59" t="s">
        <v>959</v>
      </c>
      <c r="BA250" s="56" t="s">
        <v>966</v>
      </c>
      <c r="BC250" s="28">
        <f t="shared" ref="BC250:BC258" si="15">AW250+AX250</f>
        <v>0</v>
      </c>
      <c r="BD250" s="28">
        <f t="shared" ref="BD250:BD258" si="16">J250/(100-BE250)*100</f>
        <v>0</v>
      </c>
      <c r="BE250" s="28">
        <v>0</v>
      </c>
      <c r="BF250" s="28">
        <f>250</f>
        <v>250</v>
      </c>
      <c r="BH250" s="60">
        <f t="shared" ref="BH250:BH258" si="17">I250*AO250</f>
        <v>0</v>
      </c>
      <c r="BI250" s="60">
        <f t="shared" ref="BI250:BI258" si="18">I250*AP250</f>
        <v>0</v>
      </c>
      <c r="BJ250" s="60">
        <f t="shared" ref="BJ250:BJ258" si="19">I250*J250</f>
        <v>0</v>
      </c>
      <c r="BK250" s="60" t="s">
        <v>971</v>
      </c>
      <c r="BL250" s="28">
        <v>725</v>
      </c>
    </row>
    <row r="251" spans="1:64" x14ac:dyDescent="0.25">
      <c r="A251" s="34" t="s">
        <v>156</v>
      </c>
      <c r="B251" s="41" t="s">
        <v>342</v>
      </c>
      <c r="C251" s="146" t="s">
        <v>672</v>
      </c>
      <c r="D251" s="147"/>
      <c r="E251" s="147"/>
      <c r="F251" s="147"/>
      <c r="G251" s="147"/>
      <c r="H251" s="41" t="s">
        <v>896</v>
      </c>
      <c r="I251" s="76">
        <f>'Stavební rozpočet'!I251</f>
        <v>5</v>
      </c>
      <c r="J251" s="60"/>
      <c r="K251" s="60">
        <f t="shared" si="0"/>
        <v>0</v>
      </c>
      <c r="L251" s="53" t="s">
        <v>906</v>
      </c>
      <c r="M251" s="17"/>
      <c r="Z251" s="28">
        <f t="shared" si="1"/>
        <v>0</v>
      </c>
      <c r="AB251" s="28">
        <f t="shared" si="2"/>
        <v>0</v>
      </c>
      <c r="AC251" s="28">
        <f t="shared" si="3"/>
        <v>0</v>
      </c>
      <c r="AD251" s="28">
        <f t="shared" si="4"/>
        <v>0</v>
      </c>
      <c r="AE251" s="28">
        <f t="shared" si="5"/>
        <v>0</v>
      </c>
      <c r="AF251" s="28">
        <f t="shared" si="6"/>
        <v>0</v>
      </c>
      <c r="AG251" s="28">
        <f t="shared" si="7"/>
        <v>0</v>
      </c>
      <c r="AH251" s="28">
        <f t="shared" si="8"/>
        <v>0</v>
      </c>
      <c r="AI251" s="56" t="s">
        <v>72</v>
      </c>
      <c r="AJ251" s="60">
        <f t="shared" si="9"/>
        <v>0</v>
      </c>
      <c r="AK251" s="60">
        <f t="shared" si="10"/>
        <v>0</v>
      </c>
      <c r="AL251" s="60">
        <f t="shared" si="11"/>
        <v>0</v>
      </c>
      <c r="AN251" s="28">
        <v>21</v>
      </c>
      <c r="AO251" s="28">
        <f>J251*0.395619425173439</f>
        <v>0</v>
      </c>
      <c r="AP251" s="28">
        <f>J251*(1-0.395619425173439)</f>
        <v>0</v>
      </c>
      <c r="AQ251" s="57" t="s">
        <v>88</v>
      </c>
      <c r="AV251" s="28">
        <f t="shared" si="12"/>
        <v>0</v>
      </c>
      <c r="AW251" s="28">
        <f t="shared" si="13"/>
        <v>0</v>
      </c>
      <c r="AX251" s="28">
        <f t="shared" si="14"/>
        <v>0</v>
      </c>
      <c r="AY251" s="59" t="s">
        <v>932</v>
      </c>
      <c r="AZ251" s="59" t="s">
        <v>959</v>
      </c>
      <c r="BA251" s="56" t="s">
        <v>966</v>
      </c>
      <c r="BC251" s="28">
        <f t="shared" si="15"/>
        <v>0</v>
      </c>
      <c r="BD251" s="28">
        <f t="shared" si="16"/>
        <v>0</v>
      </c>
      <c r="BE251" s="28">
        <v>0</v>
      </c>
      <c r="BF251" s="28">
        <f>251</f>
        <v>251</v>
      </c>
      <c r="BH251" s="60">
        <f t="shared" si="17"/>
        <v>0</v>
      </c>
      <c r="BI251" s="60">
        <f t="shared" si="18"/>
        <v>0</v>
      </c>
      <c r="BJ251" s="60">
        <f t="shared" si="19"/>
        <v>0</v>
      </c>
      <c r="BK251" s="60" t="s">
        <v>971</v>
      </c>
      <c r="BL251" s="28">
        <v>725</v>
      </c>
    </row>
    <row r="252" spans="1:64" x14ac:dyDescent="0.25">
      <c r="A252" s="34" t="s">
        <v>157</v>
      </c>
      <c r="B252" s="41" t="s">
        <v>343</v>
      </c>
      <c r="C252" s="146" t="s">
        <v>673</v>
      </c>
      <c r="D252" s="147"/>
      <c r="E252" s="147"/>
      <c r="F252" s="147"/>
      <c r="G252" s="147"/>
      <c r="H252" s="41" t="s">
        <v>896</v>
      </c>
      <c r="I252" s="76">
        <f>'Stavební rozpočet'!I252</f>
        <v>5</v>
      </c>
      <c r="J252" s="60"/>
      <c r="K252" s="60">
        <f t="shared" si="0"/>
        <v>0</v>
      </c>
      <c r="L252" s="53" t="s">
        <v>906</v>
      </c>
      <c r="M252" s="17"/>
      <c r="Z252" s="28">
        <f t="shared" si="1"/>
        <v>0</v>
      </c>
      <c r="AB252" s="28">
        <f t="shared" si="2"/>
        <v>0</v>
      </c>
      <c r="AC252" s="28">
        <f t="shared" si="3"/>
        <v>0</v>
      </c>
      <c r="AD252" s="28">
        <f t="shared" si="4"/>
        <v>0</v>
      </c>
      <c r="AE252" s="28">
        <f t="shared" si="5"/>
        <v>0</v>
      </c>
      <c r="AF252" s="28">
        <f t="shared" si="6"/>
        <v>0</v>
      </c>
      <c r="AG252" s="28">
        <f t="shared" si="7"/>
        <v>0</v>
      </c>
      <c r="AH252" s="28">
        <f t="shared" si="8"/>
        <v>0</v>
      </c>
      <c r="AI252" s="56" t="s">
        <v>72</v>
      </c>
      <c r="AJ252" s="60">
        <f t="shared" si="9"/>
        <v>0</v>
      </c>
      <c r="AK252" s="60">
        <f t="shared" si="10"/>
        <v>0</v>
      </c>
      <c r="AL252" s="60">
        <f t="shared" si="11"/>
        <v>0</v>
      </c>
      <c r="AN252" s="28">
        <v>21</v>
      </c>
      <c r="AO252" s="28">
        <f>J252*0.718170022371365</f>
        <v>0</v>
      </c>
      <c r="AP252" s="28">
        <f>J252*(1-0.718170022371365)</f>
        <v>0</v>
      </c>
      <c r="AQ252" s="57" t="s">
        <v>88</v>
      </c>
      <c r="AV252" s="28">
        <f t="shared" si="12"/>
        <v>0</v>
      </c>
      <c r="AW252" s="28">
        <f t="shared" si="13"/>
        <v>0</v>
      </c>
      <c r="AX252" s="28">
        <f t="shared" si="14"/>
        <v>0</v>
      </c>
      <c r="AY252" s="59" t="s">
        <v>932</v>
      </c>
      <c r="AZ252" s="59" t="s">
        <v>959</v>
      </c>
      <c r="BA252" s="56" t="s">
        <v>966</v>
      </c>
      <c r="BC252" s="28">
        <f t="shared" si="15"/>
        <v>0</v>
      </c>
      <c r="BD252" s="28">
        <f t="shared" si="16"/>
        <v>0</v>
      </c>
      <c r="BE252" s="28">
        <v>0</v>
      </c>
      <c r="BF252" s="28">
        <f>252</f>
        <v>252</v>
      </c>
      <c r="BH252" s="60">
        <f t="shared" si="17"/>
        <v>0</v>
      </c>
      <c r="BI252" s="60">
        <f t="shared" si="18"/>
        <v>0</v>
      </c>
      <c r="BJ252" s="60">
        <f t="shared" si="19"/>
        <v>0</v>
      </c>
      <c r="BK252" s="60" t="s">
        <v>971</v>
      </c>
      <c r="BL252" s="28">
        <v>725</v>
      </c>
    </row>
    <row r="253" spans="1:64" x14ac:dyDescent="0.25">
      <c r="A253" s="34" t="s">
        <v>158</v>
      </c>
      <c r="B253" s="41" t="s">
        <v>344</v>
      </c>
      <c r="C253" s="146" t="s">
        <v>674</v>
      </c>
      <c r="D253" s="147"/>
      <c r="E253" s="147"/>
      <c r="F253" s="147"/>
      <c r="G253" s="147"/>
      <c r="H253" s="41" t="s">
        <v>896</v>
      </c>
      <c r="I253" s="76">
        <f>'Stavební rozpočet'!I253</f>
        <v>3</v>
      </c>
      <c r="J253" s="60"/>
      <c r="K253" s="60">
        <f t="shared" si="0"/>
        <v>0</v>
      </c>
      <c r="L253" s="53" t="s">
        <v>906</v>
      </c>
      <c r="M253" s="17"/>
      <c r="Z253" s="28">
        <f t="shared" si="1"/>
        <v>0</v>
      </c>
      <c r="AB253" s="28">
        <f t="shared" si="2"/>
        <v>0</v>
      </c>
      <c r="AC253" s="28">
        <f t="shared" si="3"/>
        <v>0</v>
      </c>
      <c r="AD253" s="28">
        <f t="shared" si="4"/>
        <v>0</v>
      </c>
      <c r="AE253" s="28">
        <f t="shared" si="5"/>
        <v>0</v>
      </c>
      <c r="AF253" s="28">
        <f t="shared" si="6"/>
        <v>0</v>
      </c>
      <c r="AG253" s="28">
        <f t="shared" si="7"/>
        <v>0</v>
      </c>
      <c r="AH253" s="28">
        <f t="shared" si="8"/>
        <v>0</v>
      </c>
      <c r="AI253" s="56" t="s">
        <v>72</v>
      </c>
      <c r="AJ253" s="60">
        <f t="shared" si="9"/>
        <v>0</v>
      </c>
      <c r="AK253" s="60">
        <f t="shared" si="10"/>
        <v>0</v>
      </c>
      <c r="AL253" s="60">
        <f t="shared" si="11"/>
        <v>0</v>
      </c>
      <c r="AN253" s="28">
        <v>21</v>
      </c>
      <c r="AO253" s="28">
        <f>J253*0.691570141570142</f>
        <v>0</v>
      </c>
      <c r="AP253" s="28">
        <f>J253*(1-0.691570141570142)</f>
        <v>0</v>
      </c>
      <c r="AQ253" s="57" t="s">
        <v>88</v>
      </c>
      <c r="AV253" s="28">
        <f t="shared" si="12"/>
        <v>0</v>
      </c>
      <c r="AW253" s="28">
        <f t="shared" si="13"/>
        <v>0</v>
      </c>
      <c r="AX253" s="28">
        <f t="shared" si="14"/>
        <v>0</v>
      </c>
      <c r="AY253" s="59" t="s">
        <v>932</v>
      </c>
      <c r="AZ253" s="59" t="s">
        <v>959</v>
      </c>
      <c r="BA253" s="56" t="s">
        <v>966</v>
      </c>
      <c r="BC253" s="28">
        <f t="shared" si="15"/>
        <v>0</v>
      </c>
      <c r="BD253" s="28">
        <f t="shared" si="16"/>
        <v>0</v>
      </c>
      <c r="BE253" s="28">
        <v>0</v>
      </c>
      <c r="BF253" s="28">
        <f>253</f>
        <v>253</v>
      </c>
      <c r="BH253" s="60">
        <f t="shared" si="17"/>
        <v>0</v>
      </c>
      <c r="BI253" s="60">
        <f t="shared" si="18"/>
        <v>0</v>
      </c>
      <c r="BJ253" s="60">
        <f t="shared" si="19"/>
        <v>0</v>
      </c>
      <c r="BK253" s="60" t="s">
        <v>971</v>
      </c>
      <c r="BL253" s="28">
        <v>725</v>
      </c>
    </row>
    <row r="254" spans="1:64" x14ac:dyDescent="0.25">
      <c r="A254" s="34" t="s">
        <v>159</v>
      </c>
      <c r="B254" s="41" t="s">
        <v>345</v>
      </c>
      <c r="C254" s="146" t="s">
        <v>675</v>
      </c>
      <c r="D254" s="147"/>
      <c r="E254" s="147"/>
      <c r="F254" s="147"/>
      <c r="G254" s="147"/>
      <c r="H254" s="41" t="s">
        <v>896</v>
      </c>
      <c r="I254" s="76">
        <f>'Stavební rozpočet'!I254</f>
        <v>3</v>
      </c>
      <c r="J254" s="60"/>
      <c r="K254" s="60">
        <f t="shared" si="0"/>
        <v>0</v>
      </c>
      <c r="L254" s="53" t="s">
        <v>906</v>
      </c>
      <c r="M254" s="17"/>
      <c r="Z254" s="28">
        <f t="shared" si="1"/>
        <v>0</v>
      </c>
      <c r="AB254" s="28">
        <f t="shared" si="2"/>
        <v>0</v>
      </c>
      <c r="AC254" s="28">
        <f t="shared" si="3"/>
        <v>0</v>
      </c>
      <c r="AD254" s="28">
        <f t="shared" si="4"/>
        <v>0</v>
      </c>
      <c r="AE254" s="28">
        <f t="shared" si="5"/>
        <v>0</v>
      </c>
      <c r="AF254" s="28">
        <f t="shared" si="6"/>
        <v>0</v>
      </c>
      <c r="AG254" s="28">
        <f t="shared" si="7"/>
        <v>0</v>
      </c>
      <c r="AH254" s="28">
        <f t="shared" si="8"/>
        <v>0</v>
      </c>
      <c r="AI254" s="56" t="s">
        <v>72</v>
      </c>
      <c r="AJ254" s="60">
        <f t="shared" si="9"/>
        <v>0</v>
      </c>
      <c r="AK254" s="60">
        <f t="shared" si="10"/>
        <v>0</v>
      </c>
      <c r="AL254" s="60">
        <f t="shared" si="11"/>
        <v>0</v>
      </c>
      <c r="AN254" s="28">
        <v>21</v>
      </c>
      <c r="AO254" s="28">
        <f>J254*0.172269736842105</f>
        <v>0</v>
      </c>
      <c r="AP254" s="28">
        <f>J254*(1-0.172269736842105)</f>
        <v>0</v>
      </c>
      <c r="AQ254" s="57" t="s">
        <v>88</v>
      </c>
      <c r="AV254" s="28">
        <f t="shared" si="12"/>
        <v>0</v>
      </c>
      <c r="AW254" s="28">
        <f t="shared" si="13"/>
        <v>0</v>
      </c>
      <c r="AX254" s="28">
        <f t="shared" si="14"/>
        <v>0</v>
      </c>
      <c r="AY254" s="59" t="s">
        <v>932</v>
      </c>
      <c r="AZ254" s="59" t="s">
        <v>959</v>
      </c>
      <c r="BA254" s="56" t="s">
        <v>966</v>
      </c>
      <c r="BC254" s="28">
        <f t="shared" si="15"/>
        <v>0</v>
      </c>
      <c r="BD254" s="28">
        <f t="shared" si="16"/>
        <v>0</v>
      </c>
      <c r="BE254" s="28">
        <v>0</v>
      </c>
      <c r="BF254" s="28">
        <f>254</f>
        <v>254</v>
      </c>
      <c r="BH254" s="60">
        <f t="shared" si="17"/>
        <v>0</v>
      </c>
      <c r="BI254" s="60">
        <f t="shared" si="18"/>
        <v>0</v>
      </c>
      <c r="BJ254" s="60">
        <f t="shared" si="19"/>
        <v>0</v>
      </c>
      <c r="BK254" s="60" t="s">
        <v>971</v>
      </c>
      <c r="BL254" s="28">
        <v>725</v>
      </c>
    </row>
    <row r="255" spans="1:64" x14ac:dyDescent="0.25">
      <c r="A255" s="34" t="s">
        <v>160</v>
      </c>
      <c r="B255" s="41" t="s">
        <v>346</v>
      </c>
      <c r="C255" s="146" t="s">
        <v>676</v>
      </c>
      <c r="D255" s="147"/>
      <c r="E255" s="147"/>
      <c r="F255" s="147"/>
      <c r="G255" s="147"/>
      <c r="H255" s="41" t="s">
        <v>894</v>
      </c>
      <c r="I255" s="76">
        <f>'Stavební rozpočet'!I255</f>
        <v>5</v>
      </c>
      <c r="J255" s="60"/>
      <c r="K255" s="60">
        <f t="shared" si="0"/>
        <v>0</v>
      </c>
      <c r="L255" s="53" t="s">
        <v>906</v>
      </c>
      <c r="M255" s="17"/>
      <c r="Z255" s="28">
        <f t="shared" si="1"/>
        <v>0</v>
      </c>
      <c r="AB255" s="28">
        <f t="shared" si="2"/>
        <v>0</v>
      </c>
      <c r="AC255" s="28">
        <f t="shared" si="3"/>
        <v>0</v>
      </c>
      <c r="AD255" s="28">
        <f t="shared" si="4"/>
        <v>0</v>
      </c>
      <c r="AE255" s="28">
        <f t="shared" si="5"/>
        <v>0</v>
      </c>
      <c r="AF255" s="28">
        <f t="shared" si="6"/>
        <v>0</v>
      </c>
      <c r="AG255" s="28">
        <f t="shared" si="7"/>
        <v>0</v>
      </c>
      <c r="AH255" s="28">
        <f t="shared" si="8"/>
        <v>0</v>
      </c>
      <c r="AI255" s="56" t="s">
        <v>72</v>
      </c>
      <c r="AJ255" s="60">
        <f t="shared" si="9"/>
        <v>0</v>
      </c>
      <c r="AK255" s="60">
        <f t="shared" si="10"/>
        <v>0</v>
      </c>
      <c r="AL255" s="60">
        <f t="shared" si="11"/>
        <v>0</v>
      </c>
      <c r="AN255" s="28">
        <v>21</v>
      </c>
      <c r="AO255" s="28">
        <f>J255*0.0267415730337079</f>
        <v>0</v>
      </c>
      <c r="AP255" s="28">
        <f>J255*(1-0.0267415730337079)</f>
        <v>0</v>
      </c>
      <c r="AQ255" s="57" t="s">
        <v>88</v>
      </c>
      <c r="AV255" s="28">
        <f t="shared" si="12"/>
        <v>0</v>
      </c>
      <c r="AW255" s="28">
        <f t="shared" si="13"/>
        <v>0</v>
      </c>
      <c r="AX255" s="28">
        <f t="shared" si="14"/>
        <v>0</v>
      </c>
      <c r="AY255" s="59" t="s">
        <v>932</v>
      </c>
      <c r="AZ255" s="59" t="s">
        <v>959</v>
      </c>
      <c r="BA255" s="56" t="s">
        <v>966</v>
      </c>
      <c r="BC255" s="28">
        <f t="shared" si="15"/>
        <v>0</v>
      </c>
      <c r="BD255" s="28">
        <f t="shared" si="16"/>
        <v>0</v>
      </c>
      <c r="BE255" s="28">
        <v>0</v>
      </c>
      <c r="BF255" s="28">
        <f>255</f>
        <v>255</v>
      </c>
      <c r="BH255" s="60">
        <f t="shared" si="17"/>
        <v>0</v>
      </c>
      <c r="BI255" s="60">
        <f t="shared" si="18"/>
        <v>0</v>
      </c>
      <c r="BJ255" s="60">
        <f t="shared" si="19"/>
        <v>0</v>
      </c>
      <c r="BK255" s="60" t="s">
        <v>971</v>
      </c>
      <c r="BL255" s="28">
        <v>725</v>
      </c>
    </row>
    <row r="256" spans="1:64" x14ac:dyDescent="0.25">
      <c r="A256" s="34" t="s">
        <v>161</v>
      </c>
      <c r="B256" s="41" t="s">
        <v>347</v>
      </c>
      <c r="C256" s="146" t="s">
        <v>677</v>
      </c>
      <c r="D256" s="147"/>
      <c r="E256" s="147"/>
      <c r="F256" s="147"/>
      <c r="G256" s="147"/>
      <c r="H256" s="41" t="s">
        <v>894</v>
      </c>
      <c r="I256" s="76">
        <f>'Stavební rozpočet'!I256</f>
        <v>2</v>
      </c>
      <c r="J256" s="60"/>
      <c r="K256" s="60">
        <f t="shared" si="0"/>
        <v>0</v>
      </c>
      <c r="L256" s="53" t="s">
        <v>906</v>
      </c>
      <c r="M256" s="17"/>
      <c r="Z256" s="28">
        <f t="shared" si="1"/>
        <v>0</v>
      </c>
      <c r="AB256" s="28">
        <f t="shared" si="2"/>
        <v>0</v>
      </c>
      <c r="AC256" s="28">
        <f t="shared" si="3"/>
        <v>0</v>
      </c>
      <c r="AD256" s="28">
        <f t="shared" si="4"/>
        <v>0</v>
      </c>
      <c r="AE256" s="28">
        <f t="shared" si="5"/>
        <v>0</v>
      </c>
      <c r="AF256" s="28">
        <f t="shared" si="6"/>
        <v>0</v>
      </c>
      <c r="AG256" s="28">
        <f t="shared" si="7"/>
        <v>0</v>
      </c>
      <c r="AH256" s="28">
        <f t="shared" si="8"/>
        <v>0</v>
      </c>
      <c r="AI256" s="56" t="s">
        <v>72</v>
      </c>
      <c r="AJ256" s="60">
        <f t="shared" si="9"/>
        <v>0</v>
      </c>
      <c r="AK256" s="60">
        <f t="shared" si="10"/>
        <v>0</v>
      </c>
      <c r="AL256" s="60">
        <f t="shared" si="11"/>
        <v>0</v>
      </c>
      <c r="AN256" s="28">
        <v>21</v>
      </c>
      <c r="AO256" s="28">
        <f>J256*0.160344370860927</f>
        <v>0</v>
      </c>
      <c r="AP256" s="28">
        <f>J256*(1-0.160344370860927)</f>
        <v>0</v>
      </c>
      <c r="AQ256" s="57" t="s">
        <v>88</v>
      </c>
      <c r="AV256" s="28">
        <f t="shared" si="12"/>
        <v>0</v>
      </c>
      <c r="AW256" s="28">
        <f t="shared" si="13"/>
        <v>0</v>
      </c>
      <c r="AX256" s="28">
        <f t="shared" si="14"/>
        <v>0</v>
      </c>
      <c r="AY256" s="59" t="s">
        <v>932</v>
      </c>
      <c r="AZ256" s="59" t="s">
        <v>959</v>
      </c>
      <c r="BA256" s="56" t="s">
        <v>966</v>
      </c>
      <c r="BC256" s="28">
        <f t="shared" si="15"/>
        <v>0</v>
      </c>
      <c r="BD256" s="28">
        <f t="shared" si="16"/>
        <v>0</v>
      </c>
      <c r="BE256" s="28">
        <v>0</v>
      </c>
      <c r="BF256" s="28">
        <f>256</f>
        <v>256</v>
      </c>
      <c r="BH256" s="60">
        <f t="shared" si="17"/>
        <v>0</v>
      </c>
      <c r="BI256" s="60">
        <f t="shared" si="18"/>
        <v>0</v>
      </c>
      <c r="BJ256" s="60">
        <f t="shared" si="19"/>
        <v>0</v>
      </c>
      <c r="BK256" s="60" t="s">
        <v>971</v>
      </c>
      <c r="BL256" s="28">
        <v>725</v>
      </c>
    </row>
    <row r="257" spans="1:64" x14ac:dyDescent="0.25">
      <c r="A257" s="34" t="s">
        <v>162</v>
      </c>
      <c r="B257" s="41" t="s">
        <v>348</v>
      </c>
      <c r="C257" s="146" t="s">
        <v>678</v>
      </c>
      <c r="D257" s="147"/>
      <c r="E257" s="147"/>
      <c r="F257" s="147"/>
      <c r="G257" s="147"/>
      <c r="H257" s="41" t="s">
        <v>894</v>
      </c>
      <c r="I257" s="76">
        <f>'Stavební rozpočet'!I257</f>
        <v>2</v>
      </c>
      <c r="J257" s="60"/>
      <c r="K257" s="60">
        <f t="shared" si="0"/>
        <v>0</v>
      </c>
      <c r="L257" s="53" t="s">
        <v>906</v>
      </c>
      <c r="M257" s="17"/>
      <c r="Z257" s="28">
        <f t="shared" si="1"/>
        <v>0</v>
      </c>
      <c r="AB257" s="28">
        <f t="shared" si="2"/>
        <v>0</v>
      </c>
      <c r="AC257" s="28">
        <f t="shared" si="3"/>
        <v>0</v>
      </c>
      <c r="AD257" s="28">
        <f t="shared" si="4"/>
        <v>0</v>
      </c>
      <c r="AE257" s="28">
        <f t="shared" si="5"/>
        <v>0</v>
      </c>
      <c r="AF257" s="28">
        <f t="shared" si="6"/>
        <v>0</v>
      </c>
      <c r="AG257" s="28">
        <f t="shared" si="7"/>
        <v>0</v>
      </c>
      <c r="AH257" s="28">
        <f t="shared" si="8"/>
        <v>0</v>
      </c>
      <c r="AI257" s="56" t="s">
        <v>72</v>
      </c>
      <c r="AJ257" s="60">
        <f t="shared" si="9"/>
        <v>0</v>
      </c>
      <c r="AK257" s="60">
        <f t="shared" si="10"/>
        <v>0</v>
      </c>
      <c r="AL257" s="60">
        <f t="shared" si="11"/>
        <v>0</v>
      </c>
      <c r="AN257" s="28">
        <v>21</v>
      </c>
      <c r="AO257" s="28">
        <f>J257*0.841187236039418</f>
        <v>0</v>
      </c>
      <c r="AP257" s="28">
        <f>J257*(1-0.841187236039418)</f>
        <v>0</v>
      </c>
      <c r="AQ257" s="57" t="s">
        <v>88</v>
      </c>
      <c r="AV257" s="28">
        <f t="shared" si="12"/>
        <v>0</v>
      </c>
      <c r="AW257" s="28">
        <f t="shared" si="13"/>
        <v>0</v>
      </c>
      <c r="AX257" s="28">
        <f t="shared" si="14"/>
        <v>0</v>
      </c>
      <c r="AY257" s="59" t="s">
        <v>932</v>
      </c>
      <c r="AZ257" s="59" t="s">
        <v>959</v>
      </c>
      <c r="BA257" s="56" t="s">
        <v>966</v>
      </c>
      <c r="BC257" s="28">
        <f t="shared" si="15"/>
        <v>0</v>
      </c>
      <c r="BD257" s="28">
        <f t="shared" si="16"/>
        <v>0</v>
      </c>
      <c r="BE257" s="28">
        <v>0</v>
      </c>
      <c r="BF257" s="28">
        <f>257</f>
        <v>257</v>
      </c>
      <c r="BH257" s="60">
        <f t="shared" si="17"/>
        <v>0</v>
      </c>
      <c r="BI257" s="60">
        <f t="shared" si="18"/>
        <v>0</v>
      </c>
      <c r="BJ257" s="60">
        <f t="shared" si="19"/>
        <v>0</v>
      </c>
      <c r="BK257" s="60" t="s">
        <v>971</v>
      </c>
      <c r="BL257" s="28">
        <v>725</v>
      </c>
    </row>
    <row r="258" spans="1:64" x14ac:dyDescent="0.25">
      <c r="A258" s="34" t="s">
        <v>163</v>
      </c>
      <c r="B258" s="41" t="s">
        <v>349</v>
      </c>
      <c r="C258" s="146" t="s">
        <v>679</v>
      </c>
      <c r="D258" s="147"/>
      <c r="E258" s="147"/>
      <c r="F258" s="147"/>
      <c r="G258" s="147"/>
      <c r="H258" s="41" t="s">
        <v>894</v>
      </c>
      <c r="I258" s="76">
        <f>'Stavební rozpočet'!I258</f>
        <v>5</v>
      </c>
      <c r="J258" s="60"/>
      <c r="K258" s="60">
        <f t="shared" si="0"/>
        <v>0</v>
      </c>
      <c r="L258" s="53" t="s">
        <v>906</v>
      </c>
      <c r="M258" s="17"/>
      <c r="Z258" s="28">
        <f t="shared" si="1"/>
        <v>0</v>
      </c>
      <c r="AB258" s="28">
        <f t="shared" si="2"/>
        <v>0</v>
      </c>
      <c r="AC258" s="28">
        <f t="shared" si="3"/>
        <v>0</v>
      </c>
      <c r="AD258" s="28">
        <f t="shared" si="4"/>
        <v>0</v>
      </c>
      <c r="AE258" s="28">
        <f t="shared" si="5"/>
        <v>0</v>
      </c>
      <c r="AF258" s="28">
        <f t="shared" si="6"/>
        <v>0</v>
      </c>
      <c r="AG258" s="28">
        <f t="shared" si="7"/>
        <v>0</v>
      </c>
      <c r="AH258" s="28">
        <f t="shared" si="8"/>
        <v>0</v>
      </c>
      <c r="AI258" s="56" t="s">
        <v>72</v>
      </c>
      <c r="AJ258" s="60">
        <f t="shared" si="9"/>
        <v>0</v>
      </c>
      <c r="AK258" s="60">
        <f t="shared" si="10"/>
        <v>0</v>
      </c>
      <c r="AL258" s="60">
        <f t="shared" si="11"/>
        <v>0</v>
      </c>
      <c r="AN258" s="28">
        <v>21</v>
      </c>
      <c r="AO258" s="28">
        <f>J258*0.481645021645022</f>
        <v>0</v>
      </c>
      <c r="AP258" s="28">
        <f>J258*(1-0.481645021645022)</f>
        <v>0</v>
      </c>
      <c r="AQ258" s="57" t="s">
        <v>88</v>
      </c>
      <c r="AV258" s="28">
        <f t="shared" si="12"/>
        <v>0</v>
      </c>
      <c r="AW258" s="28">
        <f t="shared" si="13"/>
        <v>0</v>
      </c>
      <c r="AX258" s="28">
        <f t="shared" si="14"/>
        <v>0</v>
      </c>
      <c r="AY258" s="59" t="s">
        <v>932</v>
      </c>
      <c r="AZ258" s="59" t="s">
        <v>959</v>
      </c>
      <c r="BA258" s="56" t="s">
        <v>966</v>
      </c>
      <c r="BC258" s="28">
        <f t="shared" si="15"/>
        <v>0</v>
      </c>
      <c r="BD258" s="28">
        <f t="shared" si="16"/>
        <v>0</v>
      </c>
      <c r="BE258" s="28">
        <v>0</v>
      </c>
      <c r="BF258" s="28">
        <f>258</f>
        <v>258</v>
      </c>
      <c r="BH258" s="60">
        <f t="shared" si="17"/>
        <v>0</v>
      </c>
      <c r="BI258" s="60">
        <f t="shared" si="18"/>
        <v>0</v>
      </c>
      <c r="BJ258" s="60">
        <f t="shared" si="19"/>
        <v>0</v>
      </c>
      <c r="BK258" s="60" t="s">
        <v>971</v>
      </c>
      <c r="BL258" s="28">
        <v>725</v>
      </c>
    </row>
    <row r="259" spans="1:64" x14ac:dyDescent="0.25">
      <c r="A259" s="33"/>
      <c r="B259" s="40" t="s">
        <v>350</v>
      </c>
      <c r="C259" s="144" t="s">
        <v>680</v>
      </c>
      <c r="D259" s="145"/>
      <c r="E259" s="145"/>
      <c r="F259" s="145"/>
      <c r="G259" s="145"/>
      <c r="H259" s="46" t="s">
        <v>58</v>
      </c>
      <c r="I259" s="46" t="s">
        <v>58</v>
      </c>
      <c r="J259" s="46" t="s">
        <v>58</v>
      </c>
      <c r="K259" s="65">
        <f>SUM(K260:K262)</f>
        <v>0</v>
      </c>
      <c r="L259" s="52"/>
      <c r="M259" s="17"/>
      <c r="AI259" s="56" t="s">
        <v>72</v>
      </c>
      <c r="AS259" s="65">
        <f>SUM(AJ260:AJ262)</f>
        <v>0</v>
      </c>
      <c r="AT259" s="65">
        <f>SUM(AK260:AK262)</f>
        <v>0</v>
      </c>
      <c r="AU259" s="65">
        <f>SUM(AL260:AL262)</f>
        <v>0</v>
      </c>
    </row>
    <row r="260" spans="1:64" x14ac:dyDescent="0.25">
      <c r="A260" s="34" t="s">
        <v>164</v>
      </c>
      <c r="B260" s="41" t="s">
        <v>351</v>
      </c>
      <c r="C260" s="146" t="s">
        <v>681</v>
      </c>
      <c r="D260" s="147"/>
      <c r="E260" s="147"/>
      <c r="F260" s="147"/>
      <c r="G260" s="147"/>
      <c r="H260" s="41" t="s">
        <v>896</v>
      </c>
      <c r="I260" s="76">
        <f>'Stavební rozpočet'!I260</f>
        <v>1</v>
      </c>
      <c r="J260" s="60"/>
      <c r="K260" s="60">
        <f>I260*J260</f>
        <v>0</v>
      </c>
      <c r="L260" s="53" t="s">
        <v>906</v>
      </c>
      <c r="M260" s="17"/>
      <c r="Z260" s="28">
        <f>IF(AQ260="5",BJ260,0)</f>
        <v>0</v>
      </c>
      <c r="AB260" s="28">
        <f>IF(AQ260="1",BH260,0)</f>
        <v>0</v>
      </c>
      <c r="AC260" s="28">
        <f>IF(AQ260="1",BI260,0)</f>
        <v>0</v>
      </c>
      <c r="AD260" s="28">
        <f>IF(AQ260="7",BH260,0)</f>
        <v>0</v>
      </c>
      <c r="AE260" s="28">
        <f>IF(AQ260="7",BI260,0)</f>
        <v>0</v>
      </c>
      <c r="AF260" s="28">
        <f>IF(AQ260="2",BH260,0)</f>
        <v>0</v>
      </c>
      <c r="AG260" s="28">
        <f>IF(AQ260="2",BI260,0)</f>
        <v>0</v>
      </c>
      <c r="AH260" s="28">
        <f>IF(AQ260="0",BJ260,0)</f>
        <v>0</v>
      </c>
      <c r="AI260" s="56" t="s">
        <v>72</v>
      </c>
      <c r="AJ260" s="60">
        <f>IF(AN260=0,K260,0)</f>
        <v>0</v>
      </c>
      <c r="AK260" s="60">
        <f>IF(AN260=15,K260,0)</f>
        <v>0</v>
      </c>
      <c r="AL260" s="60">
        <f>IF(AN260=21,K260,0)</f>
        <v>0</v>
      </c>
      <c r="AN260" s="28">
        <v>21</v>
      </c>
      <c r="AO260" s="28">
        <f>J260*0.013412204234122</f>
        <v>0</v>
      </c>
      <c r="AP260" s="28">
        <f>J260*(1-0.013412204234122)</f>
        <v>0</v>
      </c>
      <c r="AQ260" s="57" t="s">
        <v>88</v>
      </c>
      <c r="AV260" s="28">
        <f>AW260+AX260</f>
        <v>0</v>
      </c>
      <c r="AW260" s="28">
        <f>I260*AO260</f>
        <v>0</v>
      </c>
      <c r="AX260" s="28">
        <f>I260*AP260</f>
        <v>0</v>
      </c>
      <c r="AY260" s="59" t="s">
        <v>933</v>
      </c>
      <c r="AZ260" s="59" t="s">
        <v>960</v>
      </c>
      <c r="BA260" s="56" t="s">
        <v>966</v>
      </c>
      <c r="BC260" s="28">
        <f>AW260+AX260</f>
        <v>0</v>
      </c>
      <c r="BD260" s="28">
        <f>J260/(100-BE260)*100</f>
        <v>0</v>
      </c>
      <c r="BE260" s="28">
        <v>0</v>
      </c>
      <c r="BF260" s="28">
        <f>260</f>
        <v>260</v>
      </c>
      <c r="BH260" s="60">
        <f>I260*AO260</f>
        <v>0</v>
      </c>
      <c r="BI260" s="60">
        <f>I260*AP260</f>
        <v>0</v>
      </c>
      <c r="BJ260" s="60">
        <f>I260*J260</f>
        <v>0</v>
      </c>
      <c r="BK260" s="60" t="s">
        <v>971</v>
      </c>
      <c r="BL260" s="28">
        <v>731</v>
      </c>
    </row>
    <row r="261" spans="1:64" x14ac:dyDescent="0.25">
      <c r="A261" s="17"/>
      <c r="C261" s="148" t="s">
        <v>627</v>
      </c>
      <c r="D261" s="149"/>
      <c r="E261" s="149"/>
      <c r="F261" s="149"/>
      <c r="G261" s="149"/>
      <c r="I261" s="77">
        <v>1</v>
      </c>
      <c r="L261" s="14"/>
      <c r="M261" s="17"/>
    </row>
    <row r="262" spans="1:64" x14ac:dyDescent="0.25">
      <c r="A262" s="34" t="s">
        <v>165</v>
      </c>
      <c r="B262" s="41" t="s">
        <v>352</v>
      </c>
      <c r="C262" s="146" t="s">
        <v>682</v>
      </c>
      <c r="D262" s="147"/>
      <c r="E262" s="147"/>
      <c r="F262" s="147"/>
      <c r="G262" s="147"/>
      <c r="H262" s="41" t="s">
        <v>897</v>
      </c>
      <c r="I262" s="76">
        <f>'Stavební rozpočet'!I262</f>
        <v>1</v>
      </c>
      <c r="J262" s="60"/>
      <c r="K262" s="60">
        <f>I262*J262</f>
        <v>0</v>
      </c>
      <c r="L262" s="53" t="s">
        <v>906</v>
      </c>
      <c r="M262" s="17"/>
      <c r="Z262" s="28">
        <f>IF(AQ262="5",BJ262,0)</f>
        <v>0</v>
      </c>
      <c r="AB262" s="28">
        <f>IF(AQ262="1",BH262,0)</f>
        <v>0</v>
      </c>
      <c r="AC262" s="28">
        <f>IF(AQ262="1",BI262,0)</f>
        <v>0</v>
      </c>
      <c r="AD262" s="28">
        <f>IF(AQ262="7",BH262,0)</f>
        <v>0</v>
      </c>
      <c r="AE262" s="28">
        <f>IF(AQ262="7",BI262,0)</f>
        <v>0</v>
      </c>
      <c r="AF262" s="28">
        <f>IF(AQ262="2",BH262,0)</f>
        <v>0</v>
      </c>
      <c r="AG262" s="28">
        <f>IF(AQ262="2",BI262,0)</f>
        <v>0</v>
      </c>
      <c r="AH262" s="28">
        <f>IF(AQ262="0",BJ262,0)</f>
        <v>0</v>
      </c>
      <c r="AI262" s="56" t="s">
        <v>72</v>
      </c>
      <c r="AJ262" s="60">
        <f>IF(AN262=0,K262,0)</f>
        <v>0</v>
      </c>
      <c r="AK262" s="60">
        <f>IF(AN262=15,K262,0)</f>
        <v>0</v>
      </c>
      <c r="AL262" s="60">
        <f>IF(AN262=21,K262,0)</f>
        <v>0</v>
      </c>
      <c r="AN262" s="28">
        <v>21</v>
      </c>
      <c r="AO262" s="28">
        <f>J262*1</f>
        <v>0</v>
      </c>
      <c r="AP262" s="28">
        <f>J262*(1-1)</f>
        <v>0</v>
      </c>
      <c r="AQ262" s="57" t="s">
        <v>88</v>
      </c>
      <c r="AV262" s="28">
        <f>AW262+AX262</f>
        <v>0</v>
      </c>
      <c r="AW262" s="28">
        <f>I262*AO262</f>
        <v>0</v>
      </c>
      <c r="AX262" s="28">
        <f>I262*AP262</f>
        <v>0</v>
      </c>
      <c r="AY262" s="59" t="s">
        <v>933</v>
      </c>
      <c r="AZ262" s="59" t="s">
        <v>960</v>
      </c>
      <c r="BA262" s="56" t="s">
        <v>966</v>
      </c>
      <c r="BC262" s="28">
        <f>AW262+AX262</f>
        <v>0</v>
      </c>
      <c r="BD262" s="28">
        <f>J262/(100-BE262)*100</f>
        <v>0</v>
      </c>
      <c r="BE262" s="28">
        <v>0</v>
      </c>
      <c r="BF262" s="28">
        <f>262</f>
        <v>262</v>
      </c>
      <c r="BH262" s="60">
        <f>I262*AO262</f>
        <v>0</v>
      </c>
      <c r="BI262" s="60">
        <f>I262*AP262</f>
        <v>0</v>
      </c>
      <c r="BJ262" s="60">
        <f>I262*J262</f>
        <v>0</v>
      </c>
      <c r="BK262" s="60" t="s">
        <v>971</v>
      </c>
      <c r="BL262" s="28">
        <v>731</v>
      </c>
    </row>
    <row r="263" spans="1:64" x14ac:dyDescent="0.25">
      <c r="A263" s="33"/>
      <c r="B263" s="40" t="s">
        <v>353</v>
      </c>
      <c r="C263" s="144" t="s">
        <v>683</v>
      </c>
      <c r="D263" s="145"/>
      <c r="E263" s="145"/>
      <c r="F263" s="145"/>
      <c r="G263" s="145"/>
      <c r="H263" s="46" t="s">
        <v>58</v>
      </c>
      <c r="I263" s="46" t="s">
        <v>58</v>
      </c>
      <c r="J263" s="46" t="s">
        <v>58</v>
      </c>
      <c r="K263" s="65">
        <f>SUM(K264:K289)</f>
        <v>0</v>
      </c>
      <c r="L263" s="52"/>
      <c r="M263" s="17"/>
      <c r="AI263" s="56" t="s">
        <v>72</v>
      </c>
      <c r="AS263" s="65">
        <f>SUM(AJ264:AJ289)</f>
        <v>0</v>
      </c>
      <c r="AT263" s="65">
        <f>SUM(AK264:AK289)</f>
        <v>0</v>
      </c>
      <c r="AU263" s="65">
        <f>SUM(AL264:AL289)</f>
        <v>0</v>
      </c>
    </row>
    <row r="264" spans="1:64" x14ac:dyDescent="0.25">
      <c r="A264" s="34" t="s">
        <v>166</v>
      </c>
      <c r="B264" s="41" t="s">
        <v>354</v>
      </c>
      <c r="C264" s="146" t="s">
        <v>684</v>
      </c>
      <c r="D264" s="147"/>
      <c r="E264" s="147"/>
      <c r="F264" s="147"/>
      <c r="G264" s="147"/>
      <c r="H264" s="41" t="s">
        <v>895</v>
      </c>
      <c r="I264" s="76">
        <f>'Stavební rozpočet'!I264</f>
        <v>44.5</v>
      </c>
      <c r="J264" s="60"/>
      <c r="K264" s="60">
        <f>I264*J264</f>
        <v>0</v>
      </c>
      <c r="L264" s="53" t="s">
        <v>906</v>
      </c>
      <c r="M264" s="17"/>
      <c r="Z264" s="28">
        <f>IF(AQ264="5",BJ264,0)</f>
        <v>0</v>
      </c>
      <c r="AB264" s="28">
        <f>IF(AQ264="1",BH264,0)</f>
        <v>0</v>
      </c>
      <c r="AC264" s="28">
        <f>IF(AQ264="1",BI264,0)</f>
        <v>0</v>
      </c>
      <c r="AD264" s="28">
        <f>IF(AQ264="7",BH264,0)</f>
        <v>0</v>
      </c>
      <c r="AE264" s="28">
        <f>IF(AQ264="7",BI264,0)</f>
        <v>0</v>
      </c>
      <c r="AF264" s="28">
        <f>IF(AQ264="2",BH264,0)</f>
        <v>0</v>
      </c>
      <c r="AG264" s="28">
        <f>IF(AQ264="2",BI264,0)</f>
        <v>0</v>
      </c>
      <c r="AH264" s="28">
        <f>IF(AQ264="0",BJ264,0)</f>
        <v>0</v>
      </c>
      <c r="AI264" s="56" t="s">
        <v>72</v>
      </c>
      <c r="AJ264" s="60">
        <f>IF(AN264=0,K264,0)</f>
        <v>0</v>
      </c>
      <c r="AK264" s="60">
        <f>IF(AN264=15,K264,0)</f>
        <v>0</v>
      </c>
      <c r="AL264" s="60">
        <f>IF(AN264=21,K264,0)</f>
        <v>0</v>
      </c>
      <c r="AN264" s="28">
        <v>21</v>
      </c>
      <c r="AO264" s="28">
        <f>J264*0.0853887399463807</f>
        <v>0</v>
      </c>
      <c r="AP264" s="28">
        <f>J264*(1-0.0853887399463807)</f>
        <v>0</v>
      </c>
      <c r="AQ264" s="57" t="s">
        <v>88</v>
      </c>
      <c r="AV264" s="28">
        <f>AW264+AX264</f>
        <v>0</v>
      </c>
      <c r="AW264" s="28">
        <f>I264*AO264</f>
        <v>0</v>
      </c>
      <c r="AX264" s="28">
        <f>I264*AP264</f>
        <v>0</v>
      </c>
      <c r="AY264" s="59" t="s">
        <v>934</v>
      </c>
      <c r="AZ264" s="59" t="s">
        <v>960</v>
      </c>
      <c r="BA264" s="56" t="s">
        <v>966</v>
      </c>
      <c r="BC264" s="28">
        <f>AW264+AX264</f>
        <v>0</v>
      </c>
      <c r="BD264" s="28">
        <f>J264/(100-BE264)*100</f>
        <v>0</v>
      </c>
      <c r="BE264" s="28">
        <v>0</v>
      </c>
      <c r="BF264" s="28">
        <f>264</f>
        <v>264</v>
      </c>
      <c r="BH264" s="60">
        <f>I264*AO264</f>
        <v>0</v>
      </c>
      <c r="BI264" s="60">
        <f>I264*AP264</f>
        <v>0</v>
      </c>
      <c r="BJ264" s="60">
        <f>I264*J264</f>
        <v>0</v>
      </c>
      <c r="BK264" s="60" t="s">
        <v>971</v>
      </c>
      <c r="BL264" s="28">
        <v>733</v>
      </c>
    </row>
    <row r="265" spans="1:64" x14ac:dyDescent="0.25">
      <c r="A265" s="17"/>
      <c r="C265" s="148" t="s">
        <v>685</v>
      </c>
      <c r="D265" s="149"/>
      <c r="E265" s="149"/>
      <c r="F265" s="149"/>
      <c r="G265" s="149"/>
      <c r="I265" s="77">
        <v>44.5</v>
      </c>
      <c r="J265" s="84"/>
      <c r="L265" s="14"/>
      <c r="M265" s="17"/>
    </row>
    <row r="266" spans="1:64" x14ac:dyDescent="0.25">
      <c r="A266" s="35" t="s">
        <v>167</v>
      </c>
      <c r="B266" s="43" t="s">
        <v>355</v>
      </c>
      <c r="C266" s="159" t="s">
        <v>686</v>
      </c>
      <c r="D266" s="160"/>
      <c r="E266" s="160"/>
      <c r="F266" s="160"/>
      <c r="G266" s="160"/>
      <c r="H266" s="43" t="s">
        <v>895</v>
      </c>
      <c r="I266" s="78">
        <f>'Stavební rozpočet'!I266</f>
        <v>45.835000000000001</v>
      </c>
      <c r="J266" s="61"/>
      <c r="K266" s="61">
        <f>I266*J266</f>
        <v>0</v>
      </c>
      <c r="L266" s="54" t="s">
        <v>906</v>
      </c>
      <c r="M266" s="17"/>
      <c r="Z266" s="28">
        <f>IF(AQ266="5",BJ266,0)</f>
        <v>0</v>
      </c>
      <c r="AB266" s="28">
        <f>IF(AQ266="1",BH266,0)</f>
        <v>0</v>
      </c>
      <c r="AC266" s="28">
        <f>IF(AQ266="1",BI266,0)</f>
        <v>0</v>
      </c>
      <c r="AD266" s="28">
        <f>IF(AQ266="7",BH266,0)</f>
        <v>0</v>
      </c>
      <c r="AE266" s="28">
        <f>IF(AQ266="7",BI266,0)</f>
        <v>0</v>
      </c>
      <c r="AF266" s="28">
        <f>IF(AQ266="2",BH266,0)</f>
        <v>0</v>
      </c>
      <c r="AG266" s="28">
        <f>IF(AQ266="2",BI266,0)</f>
        <v>0</v>
      </c>
      <c r="AH266" s="28">
        <f>IF(AQ266="0",BJ266,0)</f>
        <v>0</v>
      </c>
      <c r="AI266" s="56" t="s">
        <v>72</v>
      </c>
      <c r="AJ266" s="61">
        <f>IF(AN266=0,K266,0)</f>
        <v>0</v>
      </c>
      <c r="AK266" s="61">
        <f>IF(AN266=15,K266,0)</f>
        <v>0</v>
      </c>
      <c r="AL266" s="61">
        <f>IF(AN266=21,K266,0)</f>
        <v>0</v>
      </c>
      <c r="AN266" s="28">
        <v>21</v>
      </c>
      <c r="AO266" s="28">
        <f>J266*1</f>
        <v>0</v>
      </c>
      <c r="AP266" s="28">
        <f>J266*(1-1)</f>
        <v>0</v>
      </c>
      <c r="AQ266" s="58" t="s">
        <v>88</v>
      </c>
      <c r="AV266" s="28">
        <f>AW266+AX266</f>
        <v>0</v>
      </c>
      <c r="AW266" s="28">
        <f>I266*AO266</f>
        <v>0</v>
      </c>
      <c r="AX266" s="28">
        <f>I266*AP266</f>
        <v>0</v>
      </c>
      <c r="AY266" s="59" t="s">
        <v>934</v>
      </c>
      <c r="AZ266" s="59" t="s">
        <v>960</v>
      </c>
      <c r="BA266" s="56" t="s">
        <v>966</v>
      </c>
      <c r="BC266" s="28">
        <f>AW266+AX266</f>
        <v>0</v>
      </c>
      <c r="BD266" s="28">
        <f>J266/(100-BE266)*100</f>
        <v>0</v>
      </c>
      <c r="BE266" s="28">
        <v>0</v>
      </c>
      <c r="BF266" s="28">
        <f>266</f>
        <v>266</v>
      </c>
      <c r="BH266" s="61">
        <f>I266*AO266</f>
        <v>0</v>
      </c>
      <c r="BI266" s="61">
        <f>I266*AP266</f>
        <v>0</v>
      </c>
      <c r="BJ266" s="61">
        <f>I266*J266</f>
        <v>0</v>
      </c>
      <c r="BK266" s="61" t="s">
        <v>972</v>
      </c>
      <c r="BL266" s="28">
        <v>733</v>
      </c>
    </row>
    <row r="267" spans="1:64" x14ac:dyDescent="0.25">
      <c r="A267" s="17"/>
      <c r="C267" s="148" t="s">
        <v>685</v>
      </c>
      <c r="D267" s="149"/>
      <c r="E267" s="149"/>
      <c r="F267" s="149"/>
      <c r="G267" s="149"/>
      <c r="I267" s="77">
        <v>44.5</v>
      </c>
      <c r="J267" s="84"/>
      <c r="L267" s="14"/>
      <c r="M267" s="17"/>
    </row>
    <row r="268" spans="1:64" x14ac:dyDescent="0.25">
      <c r="A268" s="17"/>
      <c r="C268" s="148" t="s">
        <v>687</v>
      </c>
      <c r="D268" s="149"/>
      <c r="E268" s="149"/>
      <c r="F268" s="149"/>
      <c r="G268" s="149"/>
      <c r="I268" s="77">
        <v>1.335</v>
      </c>
      <c r="J268" s="84"/>
      <c r="L268" s="14"/>
      <c r="M268" s="17"/>
    </row>
    <row r="269" spans="1:64" x14ac:dyDescent="0.25">
      <c r="A269" s="34" t="s">
        <v>168</v>
      </c>
      <c r="B269" s="41" t="s">
        <v>356</v>
      </c>
      <c r="C269" s="146" t="s">
        <v>688</v>
      </c>
      <c r="D269" s="147"/>
      <c r="E269" s="147"/>
      <c r="F269" s="147"/>
      <c r="G269" s="147"/>
      <c r="H269" s="41" t="s">
        <v>895</v>
      </c>
      <c r="I269" s="76">
        <f>'Stavební rozpočet'!I269</f>
        <v>40.5</v>
      </c>
      <c r="J269" s="60"/>
      <c r="K269" s="60">
        <f>I269*J269</f>
        <v>0</v>
      </c>
      <c r="L269" s="53" t="s">
        <v>906</v>
      </c>
      <c r="M269" s="17"/>
      <c r="Z269" s="28">
        <f>IF(AQ269="5",BJ269,0)</f>
        <v>0</v>
      </c>
      <c r="AB269" s="28">
        <f>IF(AQ269="1",BH269,0)</f>
        <v>0</v>
      </c>
      <c r="AC269" s="28">
        <f>IF(AQ269="1",BI269,0)</f>
        <v>0</v>
      </c>
      <c r="AD269" s="28">
        <f>IF(AQ269="7",BH269,0)</f>
        <v>0</v>
      </c>
      <c r="AE269" s="28">
        <f>IF(AQ269="7",BI269,0)</f>
        <v>0</v>
      </c>
      <c r="AF269" s="28">
        <f>IF(AQ269="2",BH269,0)</f>
        <v>0</v>
      </c>
      <c r="AG269" s="28">
        <f>IF(AQ269="2",BI269,0)</f>
        <v>0</v>
      </c>
      <c r="AH269" s="28">
        <f>IF(AQ269="0",BJ269,0)</f>
        <v>0</v>
      </c>
      <c r="AI269" s="56" t="s">
        <v>72</v>
      </c>
      <c r="AJ269" s="60">
        <f>IF(AN269=0,K269,0)</f>
        <v>0</v>
      </c>
      <c r="AK269" s="60">
        <f>IF(AN269=15,K269,0)</f>
        <v>0</v>
      </c>
      <c r="AL269" s="60">
        <f>IF(AN269=21,K269,0)</f>
        <v>0</v>
      </c>
      <c r="AN269" s="28">
        <v>21</v>
      </c>
      <c r="AO269" s="28">
        <f>J269*0.08125</f>
        <v>0</v>
      </c>
      <c r="AP269" s="28">
        <f>J269*(1-0.08125)</f>
        <v>0</v>
      </c>
      <c r="AQ269" s="57" t="s">
        <v>88</v>
      </c>
      <c r="AV269" s="28">
        <f>AW269+AX269</f>
        <v>0</v>
      </c>
      <c r="AW269" s="28">
        <f>I269*AO269</f>
        <v>0</v>
      </c>
      <c r="AX269" s="28">
        <f>I269*AP269</f>
        <v>0</v>
      </c>
      <c r="AY269" s="59" t="s">
        <v>934</v>
      </c>
      <c r="AZ269" s="59" t="s">
        <v>960</v>
      </c>
      <c r="BA269" s="56" t="s">
        <v>966</v>
      </c>
      <c r="BC269" s="28">
        <f>AW269+AX269</f>
        <v>0</v>
      </c>
      <c r="BD269" s="28">
        <f>J269/(100-BE269)*100</f>
        <v>0</v>
      </c>
      <c r="BE269" s="28">
        <v>0</v>
      </c>
      <c r="BF269" s="28">
        <f>269</f>
        <v>269</v>
      </c>
      <c r="BH269" s="60">
        <f>I269*AO269</f>
        <v>0</v>
      </c>
      <c r="BI269" s="60">
        <f>I269*AP269</f>
        <v>0</v>
      </c>
      <c r="BJ269" s="60">
        <f>I269*J269</f>
        <v>0</v>
      </c>
      <c r="BK269" s="60" t="s">
        <v>971</v>
      </c>
      <c r="BL269" s="28">
        <v>733</v>
      </c>
    </row>
    <row r="270" spans="1:64" x14ac:dyDescent="0.25">
      <c r="A270" s="17"/>
      <c r="C270" s="148" t="s">
        <v>689</v>
      </c>
      <c r="D270" s="149"/>
      <c r="E270" s="149"/>
      <c r="F270" s="149"/>
      <c r="G270" s="149"/>
      <c r="I270" s="77">
        <v>40.5</v>
      </c>
      <c r="J270" s="84"/>
      <c r="L270" s="14"/>
      <c r="M270" s="17"/>
    </row>
    <row r="271" spans="1:64" x14ac:dyDescent="0.25">
      <c r="A271" s="35" t="s">
        <v>169</v>
      </c>
      <c r="B271" s="43" t="s">
        <v>357</v>
      </c>
      <c r="C271" s="159" t="s">
        <v>690</v>
      </c>
      <c r="D271" s="160"/>
      <c r="E271" s="160"/>
      <c r="F271" s="160"/>
      <c r="G271" s="160"/>
      <c r="H271" s="43" t="s">
        <v>895</v>
      </c>
      <c r="I271" s="78">
        <f>'Stavební rozpočet'!I271</f>
        <v>41.715000000000003</v>
      </c>
      <c r="J271" s="61"/>
      <c r="K271" s="61">
        <f>I271*J271</f>
        <v>0</v>
      </c>
      <c r="L271" s="54" t="s">
        <v>906</v>
      </c>
      <c r="M271" s="17"/>
      <c r="Z271" s="28">
        <f>IF(AQ271="5",BJ271,0)</f>
        <v>0</v>
      </c>
      <c r="AB271" s="28">
        <f>IF(AQ271="1",BH271,0)</f>
        <v>0</v>
      </c>
      <c r="AC271" s="28">
        <f>IF(AQ271="1",BI271,0)</f>
        <v>0</v>
      </c>
      <c r="AD271" s="28">
        <f>IF(AQ271="7",BH271,0)</f>
        <v>0</v>
      </c>
      <c r="AE271" s="28">
        <f>IF(AQ271="7",BI271,0)</f>
        <v>0</v>
      </c>
      <c r="AF271" s="28">
        <f>IF(AQ271="2",BH271,0)</f>
        <v>0</v>
      </c>
      <c r="AG271" s="28">
        <f>IF(AQ271="2",BI271,0)</f>
        <v>0</v>
      </c>
      <c r="AH271" s="28">
        <f>IF(AQ271="0",BJ271,0)</f>
        <v>0</v>
      </c>
      <c r="AI271" s="56" t="s">
        <v>72</v>
      </c>
      <c r="AJ271" s="61">
        <f>IF(AN271=0,K271,0)</f>
        <v>0</v>
      </c>
      <c r="AK271" s="61">
        <f>IF(AN271=15,K271,0)</f>
        <v>0</v>
      </c>
      <c r="AL271" s="61">
        <f>IF(AN271=21,K271,0)</f>
        <v>0</v>
      </c>
      <c r="AN271" s="28">
        <v>21</v>
      </c>
      <c r="AO271" s="28">
        <f>J271*1</f>
        <v>0</v>
      </c>
      <c r="AP271" s="28">
        <f>J271*(1-1)</f>
        <v>0</v>
      </c>
      <c r="AQ271" s="58" t="s">
        <v>88</v>
      </c>
      <c r="AV271" s="28">
        <f>AW271+AX271</f>
        <v>0</v>
      </c>
      <c r="AW271" s="28">
        <f>I271*AO271</f>
        <v>0</v>
      </c>
      <c r="AX271" s="28">
        <f>I271*AP271</f>
        <v>0</v>
      </c>
      <c r="AY271" s="59" t="s">
        <v>934</v>
      </c>
      <c r="AZ271" s="59" t="s">
        <v>960</v>
      </c>
      <c r="BA271" s="56" t="s">
        <v>966</v>
      </c>
      <c r="BC271" s="28">
        <f>AW271+AX271</f>
        <v>0</v>
      </c>
      <c r="BD271" s="28">
        <f>J271/(100-BE271)*100</f>
        <v>0</v>
      </c>
      <c r="BE271" s="28">
        <v>0</v>
      </c>
      <c r="BF271" s="28">
        <f>271</f>
        <v>271</v>
      </c>
      <c r="BH271" s="61">
        <f>I271*AO271</f>
        <v>0</v>
      </c>
      <c r="BI271" s="61">
        <f>I271*AP271</f>
        <v>0</v>
      </c>
      <c r="BJ271" s="61">
        <f>I271*J271</f>
        <v>0</v>
      </c>
      <c r="BK271" s="61" t="s">
        <v>972</v>
      </c>
      <c r="BL271" s="28">
        <v>733</v>
      </c>
    </row>
    <row r="272" spans="1:64" x14ac:dyDescent="0.25">
      <c r="A272" s="17"/>
      <c r="C272" s="148" t="s">
        <v>689</v>
      </c>
      <c r="D272" s="149"/>
      <c r="E272" s="149"/>
      <c r="F272" s="149"/>
      <c r="G272" s="149"/>
      <c r="I272" s="77">
        <v>40.5</v>
      </c>
      <c r="J272" s="84"/>
      <c r="L272" s="14"/>
      <c r="M272" s="17"/>
    </row>
    <row r="273" spans="1:64" x14ac:dyDescent="0.25">
      <c r="A273" s="17"/>
      <c r="C273" s="148" t="s">
        <v>691</v>
      </c>
      <c r="D273" s="149"/>
      <c r="E273" s="149"/>
      <c r="F273" s="149"/>
      <c r="G273" s="149"/>
      <c r="I273" s="77">
        <v>1.2150000000000001</v>
      </c>
      <c r="L273" s="14"/>
      <c r="M273" s="17"/>
    </row>
    <row r="274" spans="1:64" x14ac:dyDescent="0.25">
      <c r="A274" s="34" t="s">
        <v>170</v>
      </c>
      <c r="B274" s="41" t="s">
        <v>358</v>
      </c>
      <c r="C274" s="146" t="s">
        <v>692</v>
      </c>
      <c r="D274" s="147"/>
      <c r="E274" s="147"/>
      <c r="F274" s="147"/>
      <c r="G274" s="147"/>
      <c r="H274" s="41" t="s">
        <v>895</v>
      </c>
      <c r="I274" s="76">
        <f>'Stavební rozpočet'!I274</f>
        <v>36</v>
      </c>
      <c r="J274" s="60"/>
      <c r="K274" s="60">
        <f>I274*J274</f>
        <v>0</v>
      </c>
      <c r="L274" s="53" t="s">
        <v>906</v>
      </c>
      <c r="M274" s="17"/>
      <c r="Z274" s="28">
        <f>IF(AQ274="5",BJ274,0)</f>
        <v>0</v>
      </c>
      <c r="AB274" s="28">
        <f>IF(AQ274="1",BH274,0)</f>
        <v>0</v>
      </c>
      <c r="AC274" s="28">
        <f>IF(AQ274="1",BI274,0)</f>
        <v>0</v>
      </c>
      <c r="AD274" s="28">
        <f>IF(AQ274="7",BH274,0)</f>
        <v>0</v>
      </c>
      <c r="AE274" s="28">
        <f>IF(AQ274="7",BI274,0)</f>
        <v>0</v>
      </c>
      <c r="AF274" s="28">
        <f>IF(AQ274="2",BH274,0)</f>
        <v>0</v>
      </c>
      <c r="AG274" s="28">
        <f>IF(AQ274="2",BI274,0)</f>
        <v>0</v>
      </c>
      <c r="AH274" s="28">
        <f>IF(AQ274="0",BJ274,0)</f>
        <v>0</v>
      </c>
      <c r="AI274" s="56" t="s">
        <v>72</v>
      </c>
      <c r="AJ274" s="60">
        <f>IF(AN274=0,K274,0)</f>
        <v>0</v>
      </c>
      <c r="AK274" s="60">
        <f>IF(AN274=15,K274,0)</f>
        <v>0</v>
      </c>
      <c r="AL274" s="60">
        <f>IF(AN274=21,K274,0)</f>
        <v>0</v>
      </c>
      <c r="AN274" s="28">
        <v>21</v>
      </c>
      <c r="AO274" s="28">
        <f>J274*0.0757531712473573</f>
        <v>0</v>
      </c>
      <c r="AP274" s="28">
        <f>J274*(1-0.0757531712473573)</f>
        <v>0</v>
      </c>
      <c r="AQ274" s="57" t="s">
        <v>88</v>
      </c>
      <c r="AV274" s="28">
        <f>AW274+AX274</f>
        <v>0</v>
      </c>
      <c r="AW274" s="28">
        <f>I274*AO274</f>
        <v>0</v>
      </c>
      <c r="AX274" s="28">
        <f>I274*AP274</f>
        <v>0</v>
      </c>
      <c r="AY274" s="59" t="s">
        <v>934</v>
      </c>
      <c r="AZ274" s="59" t="s">
        <v>960</v>
      </c>
      <c r="BA274" s="56" t="s">
        <v>966</v>
      </c>
      <c r="BC274" s="28">
        <f>AW274+AX274</f>
        <v>0</v>
      </c>
      <c r="BD274" s="28">
        <f>J274/(100-BE274)*100</f>
        <v>0</v>
      </c>
      <c r="BE274" s="28">
        <v>0</v>
      </c>
      <c r="BF274" s="28">
        <f>274</f>
        <v>274</v>
      </c>
      <c r="BH274" s="60">
        <f>I274*AO274</f>
        <v>0</v>
      </c>
      <c r="BI274" s="60">
        <f>I274*AP274</f>
        <v>0</v>
      </c>
      <c r="BJ274" s="60">
        <f>I274*J274</f>
        <v>0</v>
      </c>
      <c r="BK274" s="60" t="s">
        <v>971</v>
      </c>
      <c r="BL274" s="28">
        <v>733</v>
      </c>
    </row>
    <row r="275" spans="1:64" x14ac:dyDescent="0.25">
      <c r="A275" s="17"/>
      <c r="C275" s="148" t="s">
        <v>693</v>
      </c>
      <c r="D275" s="149"/>
      <c r="E275" s="149"/>
      <c r="F275" s="149"/>
      <c r="G275" s="149"/>
      <c r="I275" s="77">
        <v>36</v>
      </c>
      <c r="J275" s="84"/>
      <c r="L275" s="14"/>
      <c r="M275" s="17"/>
    </row>
    <row r="276" spans="1:64" x14ac:dyDescent="0.25">
      <c r="A276" s="35" t="s">
        <v>171</v>
      </c>
      <c r="B276" s="43" t="s">
        <v>359</v>
      </c>
      <c r="C276" s="159" t="s">
        <v>694</v>
      </c>
      <c r="D276" s="160"/>
      <c r="E276" s="160"/>
      <c r="F276" s="160"/>
      <c r="G276" s="160"/>
      <c r="H276" s="43" t="s">
        <v>895</v>
      </c>
      <c r="I276" s="78">
        <f>'Stavební rozpočet'!I276</f>
        <v>37.08</v>
      </c>
      <c r="J276" s="61"/>
      <c r="K276" s="61">
        <f>I276*J276</f>
        <v>0</v>
      </c>
      <c r="L276" s="54" t="s">
        <v>906</v>
      </c>
      <c r="M276" s="17"/>
      <c r="Z276" s="28">
        <f>IF(AQ276="5",BJ276,0)</f>
        <v>0</v>
      </c>
      <c r="AB276" s="28">
        <f>IF(AQ276="1",BH276,0)</f>
        <v>0</v>
      </c>
      <c r="AC276" s="28">
        <f>IF(AQ276="1",BI276,0)</f>
        <v>0</v>
      </c>
      <c r="AD276" s="28">
        <f>IF(AQ276="7",BH276,0)</f>
        <v>0</v>
      </c>
      <c r="AE276" s="28">
        <f>IF(AQ276="7",BI276,0)</f>
        <v>0</v>
      </c>
      <c r="AF276" s="28">
        <f>IF(AQ276="2",BH276,0)</f>
        <v>0</v>
      </c>
      <c r="AG276" s="28">
        <f>IF(AQ276="2",BI276,0)</f>
        <v>0</v>
      </c>
      <c r="AH276" s="28">
        <f>IF(AQ276="0",BJ276,0)</f>
        <v>0</v>
      </c>
      <c r="AI276" s="56" t="s">
        <v>72</v>
      </c>
      <c r="AJ276" s="61">
        <f>IF(AN276=0,K276,0)</f>
        <v>0</v>
      </c>
      <c r="AK276" s="61">
        <f>IF(AN276=15,K276,0)</f>
        <v>0</v>
      </c>
      <c r="AL276" s="61">
        <f>IF(AN276=21,K276,0)</f>
        <v>0</v>
      </c>
      <c r="AN276" s="28">
        <v>21</v>
      </c>
      <c r="AO276" s="28">
        <f>J276*1</f>
        <v>0</v>
      </c>
      <c r="AP276" s="28">
        <f>J276*(1-1)</f>
        <v>0</v>
      </c>
      <c r="AQ276" s="58" t="s">
        <v>88</v>
      </c>
      <c r="AV276" s="28">
        <f>AW276+AX276</f>
        <v>0</v>
      </c>
      <c r="AW276" s="28">
        <f>I276*AO276</f>
        <v>0</v>
      </c>
      <c r="AX276" s="28">
        <f>I276*AP276</f>
        <v>0</v>
      </c>
      <c r="AY276" s="59" t="s">
        <v>934</v>
      </c>
      <c r="AZ276" s="59" t="s">
        <v>960</v>
      </c>
      <c r="BA276" s="56" t="s">
        <v>966</v>
      </c>
      <c r="BC276" s="28">
        <f>AW276+AX276</f>
        <v>0</v>
      </c>
      <c r="BD276" s="28">
        <f>J276/(100-BE276)*100</f>
        <v>0</v>
      </c>
      <c r="BE276" s="28">
        <v>0</v>
      </c>
      <c r="BF276" s="28">
        <f>276</f>
        <v>276</v>
      </c>
      <c r="BH276" s="61">
        <f>I276*AO276</f>
        <v>0</v>
      </c>
      <c r="BI276" s="61">
        <f>I276*AP276</f>
        <v>0</v>
      </c>
      <c r="BJ276" s="61">
        <f>I276*J276</f>
        <v>0</v>
      </c>
      <c r="BK276" s="61" t="s">
        <v>972</v>
      </c>
      <c r="BL276" s="28">
        <v>733</v>
      </c>
    </row>
    <row r="277" spans="1:64" x14ac:dyDescent="0.25">
      <c r="A277" s="17"/>
      <c r="C277" s="148" t="s">
        <v>693</v>
      </c>
      <c r="D277" s="149"/>
      <c r="E277" s="149"/>
      <c r="F277" s="149"/>
      <c r="G277" s="149"/>
      <c r="I277" s="77">
        <v>36</v>
      </c>
      <c r="J277" s="84"/>
      <c r="L277" s="14"/>
      <c r="M277" s="17"/>
    </row>
    <row r="278" spans="1:64" x14ac:dyDescent="0.25">
      <c r="A278" s="17"/>
      <c r="C278" s="148" t="s">
        <v>695</v>
      </c>
      <c r="D278" s="149"/>
      <c r="E278" s="149"/>
      <c r="F278" s="149"/>
      <c r="G278" s="149"/>
      <c r="I278" s="77">
        <v>1.08</v>
      </c>
      <c r="J278" s="84"/>
      <c r="L278" s="14"/>
      <c r="M278" s="17"/>
    </row>
    <row r="279" spans="1:64" x14ac:dyDescent="0.25">
      <c r="A279" s="34" t="s">
        <v>172</v>
      </c>
      <c r="B279" s="41" t="s">
        <v>360</v>
      </c>
      <c r="C279" s="146" t="s">
        <v>696</v>
      </c>
      <c r="D279" s="147"/>
      <c r="E279" s="147"/>
      <c r="F279" s="147"/>
      <c r="G279" s="147"/>
      <c r="H279" s="41" t="s">
        <v>895</v>
      </c>
      <c r="I279" s="76">
        <f>'Stavební rozpočet'!I279</f>
        <v>51.5</v>
      </c>
      <c r="J279" s="60"/>
      <c r="K279" s="60">
        <f>I279*J279</f>
        <v>0</v>
      </c>
      <c r="L279" s="53" t="s">
        <v>906</v>
      </c>
      <c r="M279" s="17"/>
      <c r="Z279" s="28">
        <f>IF(AQ279="5",BJ279,0)</f>
        <v>0</v>
      </c>
      <c r="AB279" s="28">
        <f>IF(AQ279="1",BH279,0)</f>
        <v>0</v>
      </c>
      <c r="AC279" s="28">
        <f>IF(AQ279="1",BI279,0)</f>
        <v>0</v>
      </c>
      <c r="AD279" s="28">
        <f>IF(AQ279="7",BH279,0)</f>
        <v>0</v>
      </c>
      <c r="AE279" s="28">
        <f>IF(AQ279="7",BI279,0)</f>
        <v>0</v>
      </c>
      <c r="AF279" s="28">
        <f>IF(AQ279="2",BH279,0)</f>
        <v>0</v>
      </c>
      <c r="AG279" s="28">
        <f>IF(AQ279="2",BI279,0)</f>
        <v>0</v>
      </c>
      <c r="AH279" s="28">
        <f>IF(AQ279="0",BJ279,0)</f>
        <v>0</v>
      </c>
      <c r="AI279" s="56" t="s">
        <v>72</v>
      </c>
      <c r="AJ279" s="60">
        <f>IF(AN279=0,K279,0)</f>
        <v>0</v>
      </c>
      <c r="AK279" s="60">
        <f>IF(AN279=15,K279,0)</f>
        <v>0</v>
      </c>
      <c r="AL279" s="60">
        <f>IF(AN279=21,K279,0)</f>
        <v>0</v>
      </c>
      <c r="AN279" s="28">
        <v>21</v>
      </c>
      <c r="AO279" s="28">
        <f>J279*0.0661401209677419</f>
        <v>0</v>
      </c>
      <c r="AP279" s="28">
        <f>J279*(1-0.0661401209677419)</f>
        <v>0</v>
      </c>
      <c r="AQ279" s="57" t="s">
        <v>88</v>
      </c>
      <c r="AV279" s="28">
        <f>AW279+AX279</f>
        <v>0</v>
      </c>
      <c r="AW279" s="28">
        <f>I279*AO279</f>
        <v>0</v>
      </c>
      <c r="AX279" s="28">
        <f>I279*AP279</f>
        <v>0</v>
      </c>
      <c r="AY279" s="59" t="s">
        <v>934</v>
      </c>
      <c r="AZ279" s="59" t="s">
        <v>960</v>
      </c>
      <c r="BA279" s="56" t="s">
        <v>966</v>
      </c>
      <c r="BC279" s="28">
        <f>AW279+AX279</f>
        <v>0</v>
      </c>
      <c r="BD279" s="28">
        <f>J279/(100-BE279)*100</f>
        <v>0</v>
      </c>
      <c r="BE279" s="28">
        <v>0</v>
      </c>
      <c r="BF279" s="28">
        <f>279</f>
        <v>279</v>
      </c>
      <c r="BH279" s="60">
        <f>I279*AO279</f>
        <v>0</v>
      </c>
      <c r="BI279" s="60">
        <f>I279*AP279</f>
        <v>0</v>
      </c>
      <c r="BJ279" s="60">
        <f>I279*J279</f>
        <v>0</v>
      </c>
      <c r="BK279" s="60" t="s">
        <v>971</v>
      </c>
      <c r="BL279" s="28">
        <v>733</v>
      </c>
    </row>
    <row r="280" spans="1:64" x14ac:dyDescent="0.25">
      <c r="A280" s="17"/>
      <c r="C280" s="148" t="s">
        <v>697</v>
      </c>
      <c r="D280" s="149"/>
      <c r="E280" s="149"/>
      <c r="F280" s="149"/>
      <c r="G280" s="149"/>
      <c r="I280" s="77">
        <v>51.5</v>
      </c>
      <c r="J280" s="84"/>
      <c r="L280" s="14"/>
      <c r="M280" s="17"/>
    </row>
    <row r="281" spans="1:64" x14ac:dyDescent="0.25">
      <c r="A281" s="35" t="s">
        <v>173</v>
      </c>
      <c r="B281" s="43" t="s">
        <v>361</v>
      </c>
      <c r="C281" s="159" t="s">
        <v>698</v>
      </c>
      <c r="D281" s="160"/>
      <c r="E281" s="160"/>
      <c r="F281" s="160"/>
      <c r="G281" s="160"/>
      <c r="H281" s="43" t="s">
        <v>895</v>
      </c>
      <c r="I281" s="78">
        <f>'Stavební rozpočet'!I281</f>
        <v>53.045000000000002</v>
      </c>
      <c r="J281" s="61"/>
      <c r="K281" s="61">
        <f>I281*J281</f>
        <v>0</v>
      </c>
      <c r="L281" s="54" t="s">
        <v>906</v>
      </c>
      <c r="M281" s="17"/>
      <c r="Z281" s="28">
        <f>IF(AQ281="5",BJ281,0)</f>
        <v>0</v>
      </c>
      <c r="AB281" s="28">
        <f>IF(AQ281="1",BH281,0)</f>
        <v>0</v>
      </c>
      <c r="AC281" s="28">
        <f>IF(AQ281="1",BI281,0)</f>
        <v>0</v>
      </c>
      <c r="AD281" s="28">
        <f>IF(AQ281="7",BH281,0)</f>
        <v>0</v>
      </c>
      <c r="AE281" s="28">
        <f>IF(AQ281="7",BI281,0)</f>
        <v>0</v>
      </c>
      <c r="AF281" s="28">
        <f>IF(AQ281="2",BH281,0)</f>
        <v>0</v>
      </c>
      <c r="AG281" s="28">
        <f>IF(AQ281="2",BI281,0)</f>
        <v>0</v>
      </c>
      <c r="AH281" s="28">
        <f>IF(AQ281="0",BJ281,0)</f>
        <v>0</v>
      </c>
      <c r="AI281" s="56" t="s">
        <v>72</v>
      </c>
      <c r="AJ281" s="61">
        <f>IF(AN281=0,K281,0)</f>
        <v>0</v>
      </c>
      <c r="AK281" s="61">
        <f>IF(AN281=15,K281,0)</f>
        <v>0</v>
      </c>
      <c r="AL281" s="61">
        <f>IF(AN281=21,K281,0)</f>
        <v>0</v>
      </c>
      <c r="AN281" s="28">
        <v>21</v>
      </c>
      <c r="AO281" s="28">
        <f>J281*1</f>
        <v>0</v>
      </c>
      <c r="AP281" s="28">
        <f>J281*(1-1)</f>
        <v>0</v>
      </c>
      <c r="AQ281" s="58" t="s">
        <v>88</v>
      </c>
      <c r="AV281" s="28">
        <f>AW281+AX281</f>
        <v>0</v>
      </c>
      <c r="AW281" s="28">
        <f>I281*AO281</f>
        <v>0</v>
      </c>
      <c r="AX281" s="28">
        <f>I281*AP281</f>
        <v>0</v>
      </c>
      <c r="AY281" s="59" t="s">
        <v>934</v>
      </c>
      <c r="AZ281" s="59" t="s">
        <v>960</v>
      </c>
      <c r="BA281" s="56" t="s">
        <v>966</v>
      </c>
      <c r="BC281" s="28">
        <f>AW281+AX281</f>
        <v>0</v>
      </c>
      <c r="BD281" s="28">
        <f>J281/(100-BE281)*100</f>
        <v>0</v>
      </c>
      <c r="BE281" s="28">
        <v>0</v>
      </c>
      <c r="BF281" s="28">
        <f>281</f>
        <v>281</v>
      </c>
      <c r="BH281" s="61">
        <f>I281*AO281</f>
        <v>0</v>
      </c>
      <c r="BI281" s="61">
        <f>I281*AP281</f>
        <v>0</v>
      </c>
      <c r="BJ281" s="61">
        <f>I281*J281</f>
        <v>0</v>
      </c>
      <c r="BK281" s="61" t="s">
        <v>972</v>
      </c>
      <c r="BL281" s="28">
        <v>733</v>
      </c>
    </row>
    <row r="282" spans="1:64" x14ac:dyDescent="0.25">
      <c r="A282" s="17"/>
      <c r="C282" s="148" t="s">
        <v>697</v>
      </c>
      <c r="D282" s="149"/>
      <c r="E282" s="149"/>
      <c r="F282" s="149"/>
      <c r="G282" s="149"/>
      <c r="I282" s="77">
        <v>51.5</v>
      </c>
      <c r="J282" s="84"/>
      <c r="L282" s="14"/>
      <c r="M282" s="17"/>
    </row>
    <row r="283" spans="1:64" x14ac:dyDescent="0.25">
      <c r="A283" s="17"/>
      <c r="C283" s="148" t="s">
        <v>699</v>
      </c>
      <c r="D283" s="149"/>
      <c r="E283" s="149"/>
      <c r="F283" s="149"/>
      <c r="G283" s="149"/>
      <c r="I283" s="77">
        <v>1.5449999999999999</v>
      </c>
      <c r="J283" s="84"/>
      <c r="L283" s="14"/>
      <c r="M283" s="17"/>
    </row>
    <row r="284" spans="1:64" x14ac:dyDescent="0.25">
      <c r="A284" s="34" t="s">
        <v>174</v>
      </c>
      <c r="B284" s="41" t="s">
        <v>362</v>
      </c>
      <c r="C284" s="146" t="s">
        <v>700</v>
      </c>
      <c r="D284" s="147"/>
      <c r="E284" s="147"/>
      <c r="F284" s="147"/>
      <c r="G284" s="147"/>
      <c r="H284" s="41" t="s">
        <v>895</v>
      </c>
      <c r="I284" s="76">
        <f>'Stavební rozpočet'!I284</f>
        <v>22</v>
      </c>
      <c r="J284" s="60"/>
      <c r="K284" s="60">
        <f>I284*J284</f>
        <v>0</v>
      </c>
      <c r="L284" s="53" t="s">
        <v>906</v>
      </c>
      <c r="M284" s="17"/>
      <c r="Z284" s="28">
        <f>IF(AQ284="5",BJ284,0)</f>
        <v>0</v>
      </c>
      <c r="AB284" s="28">
        <f>IF(AQ284="1",BH284,0)</f>
        <v>0</v>
      </c>
      <c r="AC284" s="28">
        <f>IF(AQ284="1",BI284,0)</f>
        <v>0</v>
      </c>
      <c r="AD284" s="28">
        <f>IF(AQ284="7",BH284,0)</f>
        <v>0</v>
      </c>
      <c r="AE284" s="28">
        <f>IF(AQ284="7",BI284,0)</f>
        <v>0</v>
      </c>
      <c r="AF284" s="28">
        <f>IF(AQ284="2",BH284,0)</f>
        <v>0</v>
      </c>
      <c r="AG284" s="28">
        <f>IF(AQ284="2",BI284,0)</f>
        <v>0</v>
      </c>
      <c r="AH284" s="28">
        <f>IF(AQ284="0",BJ284,0)</f>
        <v>0</v>
      </c>
      <c r="AI284" s="56" t="s">
        <v>72</v>
      </c>
      <c r="AJ284" s="60">
        <f>IF(AN284=0,K284,0)</f>
        <v>0</v>
      </c>
      <c r="AK284" s="60">
        <f>IF(AN284=15,K284,0)</f>
        <v>0</v>
      </c>
      <c r="AL284" s="60">
        <f>IF(AN284=21,K284,0)</f>
        <v>0</v>
      </c>
      <c r="AN284" s="28">
        <v>21</v>
      </c>
      <c r="AO284" s="28">
        <f>J284*0.0619178082191781</f>
        <v>0</v>
      </c>
      <c r="AP284" s="28">
        <f>J284*(1-0.0619178082191781)</f>
        <v>0</v>
      </c>
      <c r="AQ284" s="57" t="s">
        <v>88</v>
      </c>
      <c r="AV284" s="28">
        <f>AW284+AX284</f>
        <v>0</v>
      </c>
      <c r="AW284" s="28">
        <f>I284*AO284</f>
        <v>0</v>
      </c>
      <c r="AX284" s="28">
        <f>I284*AP284</f>
        <v>0</v>
      </c>
      <c r="AY284" s="59" t="s">
        <v>934</v>
      </c>
      <c r="AZ284" s="59" t="s">
        <v>960</v>
      </c>
      <c r="BA284" s="56" t="s">
        <v>966</v>
      </c>
      <c r="BC284" s="28">
        <f>AW284+AX284</f>
        <v>0</v>
      </c>
      <c r="BD284" s="28">
        <f>J284/(100-BE284)*100</f>
        <v>0</v>
      </c>
      <c r="BE284" s="28">
        <v>0</v>
      </c>
      <c r="BF284" s="28">
        <f>284</f>
        <v>284</v>
      </c>
      <c r="BH284" s="60">
        <f>I284*AO284</f>
        <v>0</v>
      </c>
      <c r="BI284" s="60">
        <f>I284*AP284</f>
        <v>0</v>
      </c>
      <c r="BJ284" s="60">
        <f>I284*J284</f>
        <v>0</v>
      </c>
      <c r="BK284" s="60" t="s">
        <v>971</v>
      </c>
      <c r="BL284" s="28">
        <v>733</v>
      </c>
    </row>
    <row r="285" spans="1:64" x14ac:dyDescent="0.25">
      <c r="A285" s="17"/>
      <c r="C285" s="148" t="s">
        <v>629</v>
      </c>
      <c r="D285" s="149"/>
      <c r="E285" s="149"/>
      <c r="F285" s="149"/>
      <c r="G285" s="149"/>
      <c r="I285" s="77">
        <v>22</v>
      </c>
      <c r="L285" s="14"/>
      <c r="M285" s="17"/>
    </row>
    <row r="286" spans="1:64" x14ac:dyDescent="0.25">
      <c r="A286" s="35" t="s">
        <v>175</v>
      </c>
      <c r="B286" s="43" t="s">
        <v>363</v>
      </c>
      <c r="C286" s="159" t="s">
        <v>701</v>
      </c>
      <c r="D286" s="160"/>
      <c r="E286" s="160"/>
      <c r="F286" s="160"/>
      <c r="G286" s="160"/>
      <c r="H286" s="43" t="s">
        <v>895</v>
      </c>
      <c r="I286" s="78">
        <f>'Stavební rozpočet'!I286</f>
        <v>22.66</v>
      </c>
      <c r="J286" s="61"/>
      <c r="K286" s="61">
        <f>I286*J286</f>
        <v>0</v>
      </c>
      <c r="L286" s="54" t="s">
        <v>906</v>
      </c>
      <c r="M286" s="17"/>
      <c r="Z286" s="28">
        <f>IF(AQ286="5",BJ286,0)</f>
        <v>0</v>
      </c>
      <c r="AB286" s="28">
        <f>IF(AQ286="1",BH286,0)</f>
        <v>0</v>
      </c>
      <c r="AC286" s="28">
        <f>IF(AQ286="1",BI286,0)</f>
        <v>0</v>
      </c>
      <c r="AD286" s="28">
        <f>IF(AQ286="7",BH286,0)</f>
        <v>0</v>
      </c>
      <c r="AE286" s="28">
        <f>IF(AQ286="7",BI286,0)</f>
        <v>0</v>
      </c>
      <c r="AF286" s="28">
        <f>IF(AQ286="2",BH286,0)</f>
        <v>0</v>
      </c>
      <c r="AG286" s="28">
        <f>IF(AQ286="2",BI286,0)</f>
        <v>0</v>
      </c>
      <c r="AH286" s="28">
        <f>IF(AQ286="0",BJ286,0)</f>
        <v>0</v>
      </c>
      <c r="AI286" s="56" t="s">
        <v>72</v>
      </c>
      <c r="AJ286" s="61">
        <f>IF(AN286=0,K286,0)</f>
        <v>0</v>
      </c>
      <c r="AK286" s="61">
        <f>IF(AN286=15,K286,0)</f>
        <v>0</v>
      </c>
      <c r="AL286" s="61">
        <f>IF(AN286=21,K286,0)</f>
        <v>0</v>
      </c>
      <c r="AN286" s="28">
        <v>21</v>
      </c>
      <c r="AO286" s="28">
        <f>J286*1</f>
        <v>0</v>
      </c>
      <c r="AP286" s="28">
        <f>J286*(1-1)</f>
        <v>0</v>
      </c>
      <c r="AQ286" s="58" t="s">
        <v>88</v>
      </c>
      <c r="AV286" s="28">
        <f>AW286+AX286</f>
        <v>0</v>
      </c>
      <c r="AW286" s="28">
        <f>I286*AO286</f>
        <v>0</v>
      </c>
      <c r="AX286" s="28">
        <f>I286*AP286</f>
        <v>0</v>
      </c>
      <c r="AY286" s="59" t="s">
        <v>934</v>
      </c>
      <c r="AZ286" s="59" t="s">
        <v>960</v>
      </c>
      <c r="BA286" s="56" t="s">
        <v>966</v>
      </c>
      <c r="BC286" s="28">
        <f>AW286+AX286</f>
        <v>0</v>
      </c>
      <c r="BD286" s="28">
        <f>J286/(100-BE286)*100</f>
        <v>0</v>
      </c>
      <c r="BE286" s="28">
        <v>0</v>
      </c>
      <c r="BF286" s="28">
        <f>286</f>
        <v>286</v>
      </c>
      <c r="BH286" s="61">
        <f>I286*AO286</f>
        <v>0</v>
      </c>
      <c r="BI286" s="61">
        <f>I286*AP286</f>
        <v>0</v>
      </c>
      <c r="BJ286" s="61">
        <f>I286*J286</f>
        <v>0</v>
      </c>
      <c r="BK286" s="61" t="s">
        <v>972</v>
      </c>
      <c r="BL286" s="28">
        <v>733</v>
      </c>
    </row>
    <row r="287" spans="1:64" x14ac:dyDescent="0.25">
      <c r="A287" s="17"/>
      <c r="C287" s="148" t="s">
        <v>629</v>
      </c>
      <c r="D287" s="149"/>
      <c r="E287" s="149"/>
      <c r="F287" s="149"/>
      <c r="G287" s="149"/>
      <c r="I287" s="77">
        <v>22</v>
      </c>
      <c r="L287" s="14"/>
      <c r="M287" s="17"/>
    </row>
    <row r="288" spans="1:64" x14ac:dyDescent="0.25">
      <c r="A288" s="17"/>
      <c r="C288" s="148" t="s">
        <v>702</v>
      </c>
      <c r="D288" s="149"/>
      <c r="E288" s="149"/>
      <c r="F288" s="149"/>
      <c r="G288" s="149"/>
      <c r="I288" s="77">
        <v>0.66</v>
      </c>
      <c r="L288" s="14"/>
      <c r="M288" s="17"/>
    </row>
    <row r="289" spans="1:64" x14ac:dyDescent="0.25">
      <c r="A289" s="34" t="s">
        <v>176</v>
      </c>
      <c r="B289" s="41" t="s">
        <v>364</v>
      </c>
      <c r="C289" s="146" t="s">
        <v>703</v>
      </c>
      <c r="D289" s="147"/>
      <c r="E289" s="147"/>
      <c r="F289" s="147"/>
      <c r="G289" s="147"/>
      <c r="H289" s="41" t="s">
        <v>898</v>
      </c>
      <c r="I289" s="76"/>
      <c r="J289" s="60"/>
      <c r="K289" s="60">
        <f>I289*J289</f>
        <v>0</v>
      </c>
      <c r="L289" s="53" t="s">
        <v>906</v>
      </c>
      <c r="M289" s="17"/>
      <c r="Z289" s="28">
        <f>IF(AQ289="5",BJ289,0)</f>
        <v>0</v>
      </c>
      <c r="AB289" s="28">
        <f>IF(AQ289="1",BH289,0)</f>
        <v>0</v>
      </c>
      <c r="AC289" s="28">
        <f>IF(AQ289="1",BI289,0)</f>
        <v>0</v>
      </c>
      <c r="AD289" s="28">
        <f>IF(AQ289="7",BH289,0)</f>
        <v>0</v>
      </c>
      <c r="AE289" s="28">
        <f>IF(AQ289="7",BI289,0)</f>
        <v>0</v>
      </c>
      <c r="AF289" s="28">
        <f>IF(AQ289="2",BH289,0)</f>
        <v>0</v>
      </c>
      <c r="AG289" s="28">
        <f>IF(AQ289="2",BI289,0)</f>
        <v>0</v>
      </c>
      <c r="AH289" s="28">
        <f>IF(AQ289="0",BJ289,0)</f>
        <v>0</v>
      </c>
      <c r="AI289" s="56" t="s">
        <v>72</v>
      </c>
      <c r="AJ289" s="60">
        <f>IF(AN289=0,K289,0)</f>
        <v>0</v>
      </c>
      <c r="AK289" s="60">
        <f>IF(AN289=15,K289,0)</f>
        <v>0</v>
      </c>
      <c r="AL289" s="60">
        <f>IF(AN289=21,K289,0)</f>
        <v>0</v>
      </c>
      <c r="AN289" s="28">
        <v>21</v>
      </c>
      <c r="AO289" s="28">
        <f>J289*0</f>
        <v>0</v>
      </c>
      <c r="AP289" s="28">
        <f>J289*(1-0)</f>
        <v>0</v>
      </c>
      <c r="AQ289" s="57" t="s">
        <v>86</v>
      </c>
      <c r="AV289" s="28">
        <f>AW289+AX289</f>
        <v>0</v>
      </c>
      <c r="AW289" s="28">
        <f>I289*AO289</f>
        <v>0</v>
      </c>
      <c r="AX289" s="28">
        <f>I289*AP289</f>
        <v>0</v>
      </c>
      <c r="AY289" s="59" t="s">
        <v>934</v>
      </c>
      <c r="AZ289" s="59" t="s">
        <v>960</v>
      </c>
      <c r="BA289" s="56" t="s">
        <v>966</v>
      </c>
      <c r="BC289" s="28">
        <f>AW289+AX289</f>
        <v>0</v>
      </c>
      <c r="BD289" s="28">
        <f>J289/(100-BE289)*100</f>
        <v>0</v>
      </c>
      <c r="BE289" s="28">
        <v>0</v>
      </c>
      <c r="BF289" s="28">
        <f>289</f>
        <v>289</v>
      </c>
      <c r="BH289" s="60">
        <f>I289*AO289</f>
        <v>0</v>
      </c>
      <c r="BI289" s="60">
        <f>I289*AP289</f>
        <v>0</v>
      </c>
      <c r="BJ289" s="60">
        <f>I289*J289</f>
        <v>0</v>
      </c>
      <c r="BK289" s="60" t="s">
        <v>971</v>
      </c>
      <c r="BL289" s="28">
        <v>733</v>
      </c>
    </row>
    <row r="290" spans="1:64" x14ac:dyDescent="0.25">
      <c r="A290" s="33"/>
      <c r="B290" s="40" t="s">
        <v>365</v>
      </c>
      <c r="C290" s="144" t="s">
        <v>704</v>
      </c>
      <c r="D290" s="145"/>
      <c r="E290" s="145"/>
      <c r="F290" s="145"/>
      <c r="G290" s="145"/>
      <c r="H290" s="46" t="s">
        <v>58</v>
      </c>
      <c r="I290" s="46" t="s">
        <v>58</v>
      </c>
      <c r="J290" s="46" t="s">
        <v>58</v>
      </c>
      <c r="K290" s="65">
        <f>SUM(K291:K300)</f>
        <v>0</v>
      </c>
      <c r="L290" s="52"/>
      <c r="M290" s="17"/>
      <c r="AI290" s="56" t="s">
        <v>72</v>
      </c>
      <c r="AS290" s="65">
        <f>SUM(AJ291:AJ300)</f>
        <v>0</v>
      </c>
      <c r="AT290" s="65">
        <f>SUM(AK291:AK300)</f>
        <v>0</v>
      </c>
      <c r="AU290" s="65">
        <f>SUM(AL291:AL300)</f>
        <v>0</v>
      </c>
    </row>
    <row r="291" spans="1:64" x14ac:dyDescent="0.25">
      <c r="A291" s="34" t="s">
        <v>177</v>
      </c>
      <c r="B291" s="41" t="s">
        <v>366</v>
      </c>
      <c r="C291" s="146" t="s">
        <v>705</v>
      </c>
      <c r="D291" s="147"/>
      <c r="E291" s="147"/>
      <c r="F291" s="147"/>
      <c r="G291" s="147"/>
      <c r="H291" s="41" t="s">
        <v>894</v>
      </c>
      <c r="I291" s="76">
        <f>'Stavební rozpočet'!I291</f>
        <v>2</v>
      </c>
      <c r="J291" s="60"/>
      <c r="K291" s="60">
        <f t="shared" ref="K291:K300" si="20">I291*J291</f>
        <v>0</v>
      </c>
      <c r="L291" s="53" t="s">
        <v>906</v>
      </c>
      <c r="M291" s="17"/>
      <c r="Z291" s="28">
        <f t="shared" ref="Z291:Z300" si="21">IF(AQ291="5",BJ291,0)</f>
        <v>0</v>
      </c>
      <c r="AB291" s="28">
        <f t="shared" ref="AB291:AB300" si="22">IF(AQ291="1",BH291,0)</f>
        <v>0</v>
      </c>
      <c r="AC291" s="28">
        <f t="shared" ref="AC291:AC300" si="23">IF(AQ291="1",BI291,0)</f>
        <v>0</v>
      </c>
      <c r="AD291" s="28">
        <f t="shared" ref="AD291:AD300" si="24">IF(AQ291="7",BH291,0)</f>
        <v>0</v>
      </c>
      <c r="AE291" s="28">
        <f t="shared" ref="AE291:AE300" si="25">IF(AQ291="7",BI291,0)</f>
        <v>0</v>
      </c>
      <c r="AF291" s="28">
        <f t="shared" ref="AF291:AF300" si="26">IF(AQ291="2",BH291,0)</f>
        <v>0</v>
      </c>
      <c r="AG291" s="28">
        <f t="shared" ref="AG291:AG300" si="27">IF(AQ291="2",BI291,0)</f>
        <v>0</v>
      </c>
      <c r="AH291" s="28">
        <f t="shared" ref="AH291:AH300" si="28">IF(AQ291="0",BJ291,0)</f>
        <v>0</v>
      </c>
      <c r="AI291" s="56" t="s">
        <v>72</v>
      </c>
      <c r="AJ291" s="60">
        <f t="shared" ref="AJ291:AJ300" si="29">IF(AN291=0,K291,0)</f>
        <v>0</v>
      </c>
      <c r="AK291" s="60">
        <f t="shared" ref="AK291:AK300" si="30">IF(AN291=15,K291,0)</f>
        <v>0</v>
      </c>
      <c r="AL291" s="60">
        <f t="shared" ref="AL291:AL300" si="31">IF(AN291=21,K291,0)</f>
        <v>0</v>
      </c>
      <c r="AN291" s="28">
        <v>21</v>
      </c>
      <c r="AO291" s="28">
        <f>J291*0.924485853658537</f>
        <v>0</v>
      </c>
      <c r="AP291" s="28">
        <f>J291*(1-0.924485853658537)</f>
        <v>0</v>
      </c>
      <c r="AQ291" s="57" t="s">
        <v>88</v>
      </c>
      <c r="AV291" s="28">
        <f t="shared" ref="AV291:AV300" si="32">AW291+AX291</f>
        <v>0</v>
      </c>
      <c r="AW291" s="28">
        <f t="shared" ref="AW291:AW300" si="33">I291*AO291</f>
        <v>0</v>
      </c>
      <c r="AX291" s="28">
        <f t="shared" ref="AX291:AX300" si="34">I291*AP291</f>
        <v>0</v>
      </c>
      <c r="AY291" s="59" t="s">
        <v>935</v>
      </c>
      <c r="AZ291" s="59" t="s">
        <v>960</v>
      </c>
      <c r="BA291" s="56" t="s">
        <v>966</v>
      </c>
      <c r="BC291" s="28">
        <f t="shared" ref="BC291:BC300" si="35">AW291+AX291</f>
        <v>0</v>
      </c>
      <c r="BD291" s="28">
        <f t="shared" ref="BD291:BD300" si="36">J291/(100-BE291)*100</f>
        <v>0</v>
      </c>
      <c r="BE291" s="28">
        <v>0</v>
      </c>
      <c r="BF291" s="28">
        <f>291</f>
        <v>291</v>
      </c>
      <c r="BH291" s="60">
        <f t="shared" ref="BH291:BH300" si="37">I291*AO291</f>
        <v>0</v>
      </c>
      <c r="BI291" s="60">
        <f t="shared" ref="BI291:BI300" si="38">I291*AP291</f>
        <v>0</v>
      </c>
      <c r="BJ291" s="60">
        <f t="shared" ref="BJ291:BJ300" si="39">I291*J291</f>
        <v>0</v>
      </c>
      <c r="BK291" s="60" t="s">
        <v>971</v>
      </c>
      <c r="BL291" s="28">
        <v>735</v>
      </c>
    </row>
    <row r="292" spans="1:64" x14ac:dyDescent="0.25">
      <c r="A292" s="34" t="s">
        <v>178</v>
      </c>
      <c r="B292" s="41" t="s">
        <v>367</v>
      </c>
      <c r="C292" s="146" t="s">
        <v>706</v>
      </c>
      <c r="D292" s="147"/>
      <c r="E292" s="147"/>
      <c r="F292" s="147"/>
      <c r="G292" s="147"/>
      <c r="H292" s="41" t="s">
        <v>894</v>
      </c>
      <c r="I292" s="76">
        <f>'Stavební rozpočet'!I292</f>
        <v>2</v>
      </c>
      <c r="J292" s="60"/>
      <c r="K292" s="60">
        <f t="shared" si="20"/>
        <v>0</v>
      </c>
      <c r="L292" s="53" t="s">
        <v>906</v>
      </c>
      <c r="M292" s="17"/>
      <c r="Z292" s="28">
        <f t="shared" si="21"/>
        <v>0</v>
      </c>
      <c r="AB292" s="28">
        <f t="shared" si="22"/>
        <v>0</v>
      </c>
      <c r="AC292" s="28">
        <f t="shared" si="23"/>
        <v>0</v>
      </c>
      <c r="AD292" s="28">
        <f t="shared" si="24"/>
        <v>0</v>
      </c>
      <c r="AE292" s="28">
        <f t="shared" si="25"/>
        <v>0</v>
      </c>
      <c r="AF292" s="28">
        <f t="shared" si="26"/>
        <v>0</v>
      </c>
      <c r="AG292" s="28">
        <f t="shared" si="27"/>
        <v>0</v>
      </c>
      <c r="AH292" s="28">
        <f t="shared" si="28"/>
        <v>0</v>
      </c>
      <c r="AI292" s="56" t="s">
        <v>72</v>
      </c>
      <c r="AJ292" s="60">
        <f t="shared" si="29"/>
        <v>0</v>
      </c>
      <c r="AK292" s="60">
        <f t="shared" si="30"/>
        <v>0</v>
      </c>
      <c r="AL292" s="60">
        <f t="shared" si="31"/>
        <v>0</v>
      </c>
      <c r="AN292" s="28">
        <v>21</v>
      </c>
      <c r="AO292" s="28">
        <f>J292*0.894821212121212</f>
        <v>0</v>
      </c>
      <c r="AP292" s="28">
        <f>J292*(1-0.894821212121212)</f>
        <v>0</v>
      </c>
      <c r="AQ292" s="57" t="s">
        <v>88</v>
      </c>
      <c r="AV292" s="28">
        <f t="shared" si="32"/>
        <v>0</v>
      </c>
      <c r="AW292" s="28">
        <f t="shared" si="33"/>
        <v>0</v>
      </c>
      <c r="AX292" s="28">
        <f t="shared" si="34"/>
        <v>0</v>
      </c>
      <c r="AY292" s="59" t="s">
        <v>935</v>
      </c>
      <c r="AZ292" s="59" t="s">
        <v>960</v>
      </c>
      <c r="BA292" s="56" t="s">
        <v>966</v>
      </c>
      <c r="BC292" s="28">
        <f t="shared" si="35"/>
        <v>0</v>
      </c>
      <c r="BD292" s="28">
        <f t="shared" si="36"/>
        <v>0</v>
      </c>
      <c r="BE292" s="28">
        <v>0</v>
      </c>
      <c r="BF292" s="28">
        <f>292</f>
        <v>292</v>
      </c>
      <c r="BH292" s="60">
        <f t="shared" si="37"/>
        <v>0</v>
      </c>
      <c r="BI292" s="60">
        <f t="shared" si="38"/>
        <v>0</v>
      </c>
      <c r="BJ292" s="60">
        <f t="shared" si="39"/>
        <v>0</v>
      </c>
      <c r="BK292" s="60" t="s">
        <v>971</v>
      </c>
      <c r="BL292" s="28">
        <v>735</v>
      </c>
    </row>
    <row r="293" spans="1:64" x14ac:dyDescent="0.25">
      <c r="A293" s="34" t="s">
        <v>179</v>
      </c>
      <c r="B293" s="41" t="s">
        <v>368</v>
      </c>
      <c r="C293" s="146" t="s">
        <v>707</v>
      </c>
      <c r="D293" s="147"/>
      <c r="E293" s="147"/>
      <c r="F293" s="147"/>
      <c r="G293" s="147"/>
      <c r="H293" s="41" t="s">
        <v>894</v>
      </c>
      <c r="I293" s="76">
        <f>'Stavební rozpočet'!I293</f>
        <v>2</v>
      </c>
      <c r="J293" s="60"/>
      <c r="K293" s="60">
        <f t="shared" si="20"/>
        <v>0</v>
      </c>
      <c r="L293" s="53" t="s">
        <v>906</v>
      </c>
      <c r="M293" s="17"/>
      <c r="Z293" s="28">
        <f t="shared" si="21"/>
        <v>0</v>
      </c>
      <c r="AB293" s="28">
        <f t="shared" si="22"/>
        <v>0</v>
      </c>
      <c r="AC293" s="28">
        <f t="shared" si="23"/>
        <v>0</v>
      </c>
      <c r="AD293" s="28">
        <f t="shared" si="24"/>
        <v>0</v>
      </c>
      <c r="AE293" s="28">
        <f t="shared" si="25"/>
        <v>0</v>
      </c>
      <c r="AF293" s="28">
        <f t="shared" si="26"/>
        <v>0</v>
      </c>
      <c r="AG293" s="28">
        <f t="shared" si="27"/>
        <v>0</v>
      </c>
      <c r="AH293" s="28">
        <f t="shared" si="28"/>
        <v>0</v>
      </c>
      <c r="AI293" s="56" t="s">
        <v>72</v>
      </c>
      <c r="AJ293" s="60">
        <f t="shared" si="29"/>
        <v>0</v>
      </c>
      <c r="AK293" s="60">
        <f t="shared" si="30"/>
        <v>0</v>
      </c>
      <c r="AL293" s="60">
        <f t="shared" si="31"/>
        <v>0</v>
      </c>
      <c r="AN293" s="28">
        <v>21</v>
      </c>
      <c r="AO293" s="28">
        <f>J293*0.90893935483871</f>
        <v>0</v>
      </c>
      <c r="AP293" s="28">
        <f>J293*(1-0.90893935483871)</f>
        <v>0</v>
      </c>
      <c r="AQ293" s="57" t="s">
        <v>88</v>
      </c>
      <c r="AV293" s="28">
        <f t="shared" si="32"/>
        <v>0</v>
      </c>
      <c r="AW293" s="28">
        <f t="shared" si="33"/>
        <v>0</v>
      </c>
      <c r="AX293" s="28">
        <f t="shared" si="34"/>
        <v>0</v>
      </c>
      <c r="AY293" s="59" t="s">
        <v>935</v>
      </c>
      <c r="AZ293" s="59" t="s">
        <v>960</v>
      </c>
      <c r="BA293" s="56" t="s">
        <v>966</v>
      </c>
      <c r="BC293" s="28">
        <f t="shared" si="35"/>
        <v>0</v>
      </c>
      <c r="BD293" s="28">
        <f t="shared" si="36"/>
        <v>0</v>
      </c>
      <c r="BE293" s="28">
        <v>0</v>
      </c>
      <c r="BF293" s="28">
        <f>293</f>
        <v>293</v>
      </c>
      <c r="BH293" s="60">
        <f t="shared" si="37"/>
        <v>0</v>
      </c>
      <c r="BI293" s="60">
        <f t="shared" si="38"/>
        <v>0</v>
      </c>
      <c r="BJ293" s="60">
        <f t="shared" si="39"/>
        <v>0</v>
      </c>
      <c r="BK293" s="60" t="s">
        <v>971</v>
      </c>
      <c r="BL293" s="28">
        <v>735</v>
      </c>
    </row>
    <row r="294" spans="1:64" x14ac:dyDescent="0.25">
      <c r="A294" s="34" t="s">
        <v>180</v>
      </c>
      <c r="B294" s="41" t="s">
        <v>369</v>
      </c>
      <c r="C294" s="146" t="s">
        <v>708</v>
      </c>
      <c r="D294" s="147"/>
      <c r="E294" s="147"/>
      <c r="F294" s="147"/>
      <c r="G294" s="147"/>
      <c r="H294" s="41" t="s">
        <v>894</v>
      </c>
      <c r="I294" s="76">
        <f>'Stavební rozpočet'!I294</f>
        <v>3</v>
      </c>
      <c r="J294" s="60"/>
      <c r="K294" s="60">
        <f t="shared" si="20"/>
        <v>0</v>
      </c>
      <c r="L294" s="53" t="s">
        <v>906</v>
      </c>
      <c r="M294" s="17"/>
      <c r="Z294" s="28">
        <f t="shared" si="21"/>
        <v>0</v>
      </c>
      <c r="AB294" s="28">
        <f t="shared" si="22"/>
        <v>0</v>
      </c>
      <c r="AC294" s="28">
        <f t="shared" si="23"/>
        <v>0</v>
      </c>
      <c r="AD294" s="28">
        <f t="shared" si="24"/>
        <v>0</v>
      </c>
      <c r="AE294" s="28">
        <f t="shared" si="25"/>
        <v>0</v>
      </c>
      <c r="AF294" s="28">
        <f t="shared" si="26"/>
        <v>0</v>
      </c>
      <c r="AG294" s="28">
        <f t="shared" si="27"/>
        <v>0</v>
      </c>
      <c r="AH294" s="28">
        <f t="shared" si="28"/>
        <v>0</v>
      </c>
      <c r="AI294" s="56" t="s">
        <v>72</v>
      </c>
      <c r="AJ294" s="60">
        <f t="shared" si="29"/>
        <v>0</v>
      </c>
      <c r="AK294" s="60">
        <f t="shared" si="30"/>
        <v>0</v>
      </c>
      <c r="AL294" s="60">
        <f t="shared" si="31"/>
        <v>0</v>
      </c>
      <c r="AN294" s="28">
        <v>21</v>
      </c>
      <c r="AO294" s="28">
        <f>J294*0.921033881897386</f>
        <v>0</v>
      </c>
      <c r="AP294" s="28">
        <f>J294*(1-0.921033881897386)</f>
        <v>0</v>
      </c>
      <c r="AQ294" s="57" t="s">
        <v>88</v>
      </c>
      <c r="AV294" s="28">
        <f t="shared" si="32"/>
        <v>0</v>
      </c>
      <c r="AW294" s="28">
        <f t="shared" si="33"/>
        <v>0</v>
      </c>
      <c r="AX294" s="28">
        <f t="shared" si="34"/>
        <v>0</v>
      </c>
      <c r="AY294" s="59" t="s">
        <v>935</v>
      </c>
      <c r="AZ294" s="59" t="s">
        <v>960</v>
      </c>
      <c r="BA294" s="56" t="s">
        <v>966</v>
      </c>
      <c r="BC294" s="28">
        <f t="shared" si="35"/>
        <v>0</v>
      </c>
      <c r="BD294" s="28">
        <f t="shared" si="36"/>
        <v>0</v>
      </c>
      <c r="BE294" s="28">
        <v>0</v>
      </c>
      <c r="BF294" s="28">
        <f>294</f>
        <v>294</v>
      </c>
      <c r="BH294" s="60">
        <f t="shared" si="37"/>
        <v>0</v>
      </c>
      <c r="BI294" s="60">
        <f t="shared" si="38"/>
        <v>0</v>
      </c>
      <c r="BJ294" s="60">
        <f t="shared" si="39"/>
        <v>0</v>
      </c>
      <c r="BK294" s="60" t="s">
        <v>971</v>
      </c>
      <c r="BL294" s="28">
        <v>735</v>
      </c>
    </row>
    <row r="295" spans="1:64" x14ac:dyDescent="0.25">
      <c r="A295" s="34" t="s">
        <v>181</v>
      </c>
      <c r="B295" s="41" t="s">
        <v>370</v>
      </c>
      <c r="C295" s="146" t="s">
        <v>709</v>
      </c>
      <c r="D295" s="147"/>
      <c r="E295" s="147"/>
      <c r="F295" s="147"/>
      <c r="G295" s="147"/>
      <c r="H295" s="41" t="s">
        <v>894</v>
      </c>
      <c r="I295" s="76">
        <f>'Stavební rozpočet'!I295</f>
        <v>3</v>
      </c>
      <c r="J295" s="60"/>
      <c r="K295" s="60">
        <f t="shared" si="20"/>
        <v>0</v>
      </c>
      <c r="L295" s="53" t="s">
        <v>906</v>
      </c>
      <c r="M295" s="17"/>
      <c r="Z295" s="28">
        <f t="shared" si="21"/>
        <v>0</v>
      </c>
      <c r="AB295" s="28">
        <f t="shared" si="22"/>
        <v>0</v>
      </c>
      <c r="AC295" s="28">
        <f t="shared" si="23"/>
        <v>0</v>
      </c>
      <c r="AD295" s="28">
        <f t="shared" si="24"/>
        <v>0</v>
      </c>
      <c r="AE295" s="28">
        <f t="shared" si="25"/>
        <v>0</v>
      </c>
      <c r="AF295" s="28">
        <f t="shared" si="26"/>
        <v>0</v>
      </c>
      <c r="AG295" s="28">
        <f t="shared" si="27"/>
        <v>0</v>
      </c>
      <c r="AH295" s="28">
        <f t="shared" si="28"/>
        <v>0</v>
      </c>
      <c r="AI295" s="56" t="s">
        <v>72</v>
      </c>
      <c r="AJ295" s="60">
        <f t="shared" si="29"/>
        <v>0</v>
      </c>
      <c r="AK295" s="60">
        <f t="shared" si="30"/>
        <v>0</v>
      </c>
      <c r="AL295" s="60">
        <f t="shared" si="31"/>
        <v>0</v>
      </c>
      <c r="AN295" s="28">
        <v>21</v>
      </c>
      <c r="AO295" s="28">
        <f>J295*0.912551881413911</f>
        <v>0</v>
      </c>
      <c r="AP295" s="28">
        <f>J295*(1-0.912551881413911)</f>
        <v>0</v>
      </c>
      <c r="AQ295" s="57" t="s">
        <v>88</v>
      </c>
      <c r="AV295" s="28">
        <f t="shared" si="32"/>
        <v>0</v>
      </c>
      <c r="AW295" s="28">
        <f t="shared" si="33"/>
        <v>0</v>
      </c>
      <c r="AX295" s="28">
        <f t="shared" si="34"/>
        <v>0</v>
      </c>
      <c r="AY295" s="59" t="s">
        <v>935</v>
      </c>
      <c r="AZ295" s="59" t="s">
        <v>960</v>
      </c>
      <c r="BA295" s="56" t="s">
        <v>966</v>
      </c>
      <c r="BC295" s="28">
        <f t="shared" si="35"/>
        <v>0</v>
      </c>
      <c r="BD295" s="28">
        <f t="shared" si="36"/>
        <v>0</v>
      </c>
      <c r="BE295" s="28">
        <v>0</v>
      </c>
      <c r="BF295" s="28">
        <f>295</f>
        <v>295</v>
      </c>
      <c r="BH295" s="60">
        <f t="shared" si="37"/>
        <v>0</v>
      </c>
      <c r="BI295" s="60">
        <f t="shared" si="38"/>
        <v>0</v>
      </c>
      <c r="BJ295" s="60">
        <f t="shared" si="39"/>
        <v>0</v>
      </c>
      <c r="BK295" s="60" t="s">
        <v>971</v>
      </c>
      <c r="BL295" s="28">
        <v>735</v>
      </c>
    </row>
    <row r="296" spans="1:64" x14ac:dyDescent="0.25">
      <c r="A296" s="34" t="s">
        <v>182</v>
      </c>
      <c r="B296" s="41" t="s">
        <v>371</v>
      </c>
      <c r="C296" s="146" t="s">
        <v>710</v>
      </c>
      <c r="D296" s="147"/>
      <c r="E296" s="147"/>
      <c r="F296" s="147"/>
      <c r="G296" s="147"/>
      <c r="H296" s="41" t="s">
        <v>894</v>
      </c>
      <c r="I296" s="76">
        <f>'Stavební rozpočet'!I296</f>
        <v>2</v>
      </c>
      <c r="J296" s="60"/>
      <c r="K296" s="60">
        <f t="shared" si="20"/>
        <v>0</v>
      </c>
      <c r="L296" s="53" t="s">
        <v>906</v>
      </c>
      <c r="M296" s="17"/>
      <c r="Z296" s="28">
        <f t="shared" si="21"/>
        <v>0</v>
      </c>
      <c r="AB296" s="28">
        <f t="shared" si="22"/>
        <v>0</v>
      </c>
      <c r="AC296" s="28">
        <f t="shared" si="23"/>
        <v>0</v>
      </c>
      <c r="AD296" s="28">
        <f t="shared" si="24"/>
        <v>0</v>
      </c>
      <c r="AE296" s="28">
        <f t="shared" si="25"/>
        <v>0</v>
      </c>
      <c r="AF296" s="28">
        <f t="shared" si="26"/>
        <v>0</v>
      </c>
      <c r="AG296" s="28">
        <f t="shared" si="27"/>
        <v>0</v>
      </c>
      <c r="AH296" s="28">
        <f t="shared" si="28"/>
        <v>0</v>
      </c>
      <c r="AI296" s="56" t="s">
        <v>72</v>
      </c>
      <c r="AJ296" s="60">
        <f t="shared" si="29"/>
        <v>0</v>
      </c>
      <c r="AK296" s="60">
        <f t="shared" si="30"/>
        <v>0</v>
      </c>
      <c r="AL296" s="60">
        <f t="shared" si="31"/>
        <v>0</v>
      </c>
      <c r="AN296" s="28">
        <v>21</v>
      </c>
      <c r="AO296" s="28">
        <f>J296*0.921347368421053</f>
        <v>0</v>
      </c>
      <c r="AP296" s="28">
        <f>J296*(1-0.921347368421053)</f>
        <v>0</v>
      </c>
      <c r="AQ296" s="57" t="s">
        <v>88</v>
      </c>
      <c r="AV296" s="28">
        <f t="shared" si="32"/>
        <v>0</v>
      </c>
      <c r="AW296" s="28">
        <f t="shared" si="33"/>
        <v>0</v>
      </c>
      <c r="AX296" s="28">
        <f t="shared" si="34"/>
        <v>0</v>
      </c>
      <c r="AY296" s="59" t="s">
        <v>935</v>
      </c>
      <c r="AZ296" s="59" t="s">
        <v>960</v>
      </c>
      <c r="BA296" s="56" t="s">
        <v>966</v>
      </c>
      <c r="BC296" s="28">
        <f t="shared" si="35"/>
        <v>0</v>
      </c>
      <c r="BD296" s="28">
        <f t="shared" si="36"/>
        <v>0</v>
      </c>
      <c r="BE296" s="28">
        <v>0</v>
      </c>
      <c r="BF296" s="28">
        <f>296</f>
        <v>296</v>
      </c>
      <c r="BH296" s="60">
        <f t="shared" si="37"/>
        <v>0</v>
      </c>
      <c r="BI296" s="60">
        <f t="shared" si="38"/>
        <v>0</v>
      </c>
      <c r="BJ296" s="60">
        <f t="shared" si="39"/>
        <v>0</v>
      </c>
      <c r="BK296" s="60" t="s">
        <v>971</v>
      </c>
      <c r="BL296" s="28">
        <v>735</v>
      </c>
    </row>
    <row r="297" spans="1:64" x14ac:dyDescent="0.25">
      <c r="A297" s="34" t="s">
        <v>183</v>
      </c>
      <c r="B297" s="41" t="s">
        <v>372</v>
      </c>
      <c r="C297" s="146" t="s">
        <v>711</v>
      </c>
      <c r="D297" s="147"/>
      <c r="E297" s="147"/>
      <c r="F297" s="147"/>
      <c r="G297" s="147"/>
      <c r="H297" s="41" t="s">
        <v>894</v>
      </c>
      <c r="I297" s="76">
        <f>'Stavební rozpočet'!I297</f>
        <v>1</v>
      </c>
      <c r="J297" s="60"/>
      <c r="K297" s="60">
        <f t="shared" si="20"/>
        <v>0</v>
      </c>
      <c r="L297" s="53" t="s">
        <v>906</v>
      </c>
      <c r="M297" s="17"/>
      <c r="Z297" s="28">
        <f t="shared" si="21"/>
        <v>0</v>
      </c>
      <c r="AB297" s="28">
        <f t="shared" si="22"/>
        <v>0</v>
      </c>
      <c r="AC297" s="28">
        <f t="shared" si="23"/>
        <v>0</v>
      </c>
      <c r="AD297" s="28">
        <f t="shared" si="24"/>
        <v>0</v>
      </c>
      <c r="AE297" s="28">
        <f t="shared" si="25"/>
        <v>0</v>
      </c>
      <c r="AF297" s="28">
        <f t="shared" si="26"/>
        <v>0</v>
      </c>
      <c r="AG297" s="28">
        <f t="shared" si="27"/>
        <v>0</v>
      </c>
      <c r="AH297" s="28">
        <f t="shared" si="28"/>
        <v>0</v>
      </c>
      <c r="AI297" s="56" t="s">
        <v>72</v>
      </c>
      <c r="AJ297" s="60">
        <f t="shared" si="29"/>
        <v>0</v>
      </c>
      <c r="AK297" s="60">
        <f t="shared" si="30"/>
        <v>0</v>
      </c>
      <c r="AL297" s="60">
        <f t="shared" si="31"/>
        <v>0</v>
      </c>
      <c r="AN297" s="28">
        <v>21</v>
      </c>
      <c r="AO297" s="28">
        <f>J297*0.881646129541864</f>
        <v>0</v>
      </c>
      <c r="AP297" s="28">
        <f>J297*(1-0.881646129541864)</f>
        <v>0</v>
      </c>
      <c r="AQ297" s="57" t="s">
        <v>88</v>
      </c>
      <c r="AV297" s="28">
        <f t="shared" si="32"/>
        <v>0</v>
      </c>
      <c r="AW297" s="28">
        <f t="shared" si="33"/>
        <v>0</v>
      </c>
      <c r="AX297" s="28">
        <f t="shared" si="34"/>
        <v>0</v>
      </c>
      <c r="AY297" s="59" t="s">
        <v>935</v>
      </c>
      <c r="AZ297" s="59" t="s">
        <v>960</v>
      </c>
      <c r="BA297" s="56" t="s">
        <v>966</v>
      </c>
      <c r="BC297" s="28">
        <f t="shared" si="35"/>
        <v>0</v>
      </c>
      <c r="BD297" s="28">
        <f t="shared" si="36"/>
        <v>0</v>
      </c>
      <c r="BE297" s="28">
        <v>0</v>
      </c>
      <c r="BF297" s="28">
        <f>297</f>
        <v>297</v>
      </c>
      <c r="BH297" s="60">
        <f t="shared" si="37"/>
        <v>0</v>
      </c>
      <c r="BI297" s="60">
        <f t="shared" si="38"/>
        <v>0</v>
      </c>
      <c r="BJ297" s="60">
        <f t="shared" si="39"/>
        <v>0</v>
      </c>
      <c r="BK297" s="60" t="s">
        <v>971</v>
      </c>
      <c r="BL297" s="28">
        <v>735</v>
      </c>
    </row>
    <row r="298" spans="1:64" x14ac:dyDescent="0.25">
      <c r="A298" s="34" t="s">
        <v>184</v>
      </c>
      <c r="B298" s="41" t="s">
        <v>373</v>
      </c>
      <c r="C298" s="146" t="s">
        <v>712</v>
      </c>
      <c r="D298" s="147"/>
      <c r="E298" s="147"/>
      <c r="F298" s="147"/>
      <c r="G298" s="147"/>
      <c r="H298" s="41" t="s">
        <v>894</v>
      </c>
      <c r="I298" s="76">
        <f>'Stavební rozpočet'!I298</f>
        <v>3</v>
      </c>
      <c r="J298" s="60"/>
      <c r="K298" s="60">
        <f t="shared" si="20"/>
        <v>0</v>
      </c>
      <c r="L298" s="53" t="s">
        <v>906</v>
      </c>
      <c r="M298" s="17"/>
      <c r="Z298" s="28">
        <f t="shared" si="21"/>
        <v>0</v>
      </c>
      <c r="AB298" s="28">
        <f t="shared" si="22"/>
        <v>0</v>
      </c>
      <c r="AC298" s="28">
        <f t="shared" si="23"/>
        <v>0</v>
      </c>
      <c r="AD298" s="28">
        <f t="shared" si="24"/>
        <v>0</v>
      </c>
      <c r="AE298" s="28">
        <f t="shared" si="25"/>
        <v>0</v>
      </c>
      <c r="AF298" s="28">
        <f t="shared" si="26"/>
        <v>0</v>
      </c>
      <c r="AG298" s="28">
        <f t="shared" si="27"/>
        <v>0</v>
      </c>
      <c r="AH298" s="28">
        <f t="shared" si="28"/>
        <v>0</v>
      </c>
      <c r="AI298" s="56" t="s">
        <v>72</v>
      </c>
      <c r="AJ298" s="60">
        <f t="shared" si="29"/>
        <v>0</v>
      </c>
      <c r="AK298" s="60">
        <f t="shared" si="30"/>
        <v>0</v>
      </c>
      <c r="AL298" s="60">
        <f t="shared" si="31"/>
        <v>0</v>
      </c>
      <c r="AN298" s="28">
        <v>21</v>
      </c>
      <c r="AO298" s="28">
        <f>J298*0.858899641577061</f>
        <v>0</v>
      </c>
      <c r="AP298" s="28">
        <f>J298*(1-0.858899641577061)</f>
        <v>0</v>
      </c>
      <c r="AQ298" s="57" t="s">
        <v>88</v>
      </c>
      <c r="AV298" s="28">
        <f t="shared" si="32"/>
        <v>0</v>
      </c>
      <c r="AW298" s="28">
        <f t="shared" si="33"/>
        <v>0</v>
      </c>
      <c r="AX298" s="28">
        <f t="shared" si="34"/>
        <v>0</v>
      </c>
      <c r="AY298" s="59" t="s">
        <v>935</v>
      </c>
      <c r="AZ298" s="59" t="s">
        <v>960</v>
      </c>
      <c r="BA298" s="56" t="s">
        <v>966</v>
      </c>
      <c r="BC298" s="28">
        <f t="shared" si="35"/>
        <v>0</v>
      </c>
      <c r="BD298" s="28">
        <f t="shared" si="36"/>
        <v>0</v>
      </c>
      <c r="BE298" s="28">
        <v>0</v>
      </c>
      <c r="BF298" s="28">
        <f>298</f>
        <v>298</v>
      </c>
      <c r="BH298" s="60">
        <f t="shared" si="37"/>
        <v>0</v>
      </c>
      <c r="BI298" s="60">
        <f t="shared" si="38"/>
        <v>0</v>
      </c>
      <c r="BJ298" s="60">
        <f t="shared" si="39"/>
        <v>0</v>
      </c>
      <c r="BK298" s="60" t="s">
        <v>971</v>
      </c>
      <c r="BL298" s="28">
        <v>735</v>
      </c>
    </row>
    <row r="299" spans="1:64" x14ac:dyDescent="0.25">
      <c r="A299" s="34" t="s">
        <v>185</v>
      </c>
      <c r="B299" s="41" t="s">
        <v>374</v>
      </c>
      <c r="C299" s="146" t="s">
        <v>713</v>
      </c>
      <c r="D299" s="147"/>
      <c r="E299" s="147"/>
      <c r="F299" s="147"/>
      <c r="G299" s="147"/>
      <c r="H299" s="41" t="s">
        <v>894</v>
      </c>
      <c r="I299" s="76">
        <f>'Stavební rozpočet'!I299</f>
        <v>2</v>
      </c>
      <c r="J299" s="60"/>
      <c r="K299" s="60">
        <f t="shared" si="20"/>
        <v>0</v>
      </c>
      <c r="L299" s="53" t="s">
        <v>906</v>
      </c>
      <c r="M299" s="17"/>
      <c r="Z299" s="28">
        <f t="shared" si="21"/>
        <v>0</v>
      </c>
      <c r="AB299" s="28">
        <f t="shared" si="22"/>
        <v>0</v>
      </c>
      <c r="AC299" s="28">
        <f t="shared" si="23"/>
        <v>0</v>
      </c>
      <c r="AD299" s="28">
        <f t="shared" si="24"/>
        <v>0</v>
      </c>
      <c r="AE299" s="28">
        <f t="shared" si="25"/>
        <v>0</v>
      </c>
      <c r="AF299" s="28">
        <f t="shared" si="26"/>
        <v>0</v>
      </c>
      <c r="AG299" s="28">
        <f t="shared" si="27"/>
        <v>0</v>
      </c>
      <c r="AH299" s="28">
        <f t="shared" si="28"/>
        <v>0</v>
      </c>
      <c r="AI299" s="56" t="s">
        <v>72</v>
      </c>
      <c r="AJ299" s="60">
        <f t="shared" si="29"/>
        <v>0</v>
      </c>
      <c r="AK299" s="60">
        <f t="shared" si="30"/>
        <v>0</v>
      </c>
      <c r="AL299" s="60">
        <f t="shared" si="31"/>
        <v>0</v>
      </c>
      <c r="AN299" s="28">
        <v>21</v>
      </c>
      <c r="AO299" s="28">
        <f>J299*0.884045335658239</f>
        <v>0</v>
      </c>
      <c r="AP299" s="28">
        <f>J299*(1-0.884045335658239)</f>
        <v>0</v>
      </c>
      <c r="AQ299" s="57" t="s">
        <v>88</v>
      </c>
      <c r="AV299" s="28">
        <f t="shared" si="32"/>
        <v>0</v>
      </c>
      <c r="AW299" s="28">
        <f t="shared" si="33"/>
        <v>0</v>
      </c>
      <c r="AX299" s="28">
        <f t="shared" si="34"/>
        <v>0</v>
      </c>
      <c r="AY299" s="59" t="s">
        <v>935</v>
      </c>
      <c r="AZ299" s="59" t="s">
        <v>960</v>
      </c>
      <c r="BA299" s="56" t="s">
        <v>966</v>
      </c>
      <c r="BC299" s="28">
        <f t="shared" si="35"/>
        <v>0</v>
      </c>
      <c r="BD299" s="28">
        <f t="shared" si="36"/>
        <v>0</v>
      </c>
      <c r="BE299" s="28">
        <v>0</v>
      </c>
      <c r="BF299" s="28">
        <f>299</f>
        <v>299</v>
      </c>
      <c r="BH299" s="60">
        <f t="shared" si="37"/>
        <v>0</v>
      </c>
      <c r="BI299" s="60">
        <f t="shared" si="38"/>
        <v>0</v>
      </c>
      <c r="BJ299" s="60">
        <f t="shared" si="39"/>
        <v>0</v>
      </c>
      <c r="BK299" s="60" t="s">
        <v>971</v>
      </c>
      <c r="BL299" s="28">
        <v>735</v>
      </c>
    </row>
    <row r="300" spans="1:64" x14ac:dyDescent="0.25">
      <c r="A300" s="34" t="s">
        <v>186</v>
      </c>
      <c r="B300" s="41" t="s">
        <v>375</v>
      </c>
      <c r="C300" s="146" t="s">
        <v>714</v>
      </c>
      <c r="D300" s="147"/>
      <c r="E300" s="147"/>
      <c r="F300" s="147"/>
      <c r="G300" s="147"/>
      <c r="H300" s="41" t="s">
        <v>894</v>
      </c>
      <c r="I300" s="76">
        <f>'Stavební rozpočet'!I300</f>
        <v>2</v>
      </c>
      <c r="J300" s="60"/>
      <c r="K300" s="60">
        <f t="shared" si="20"/>
        <v>0</v>
      </c>
      <c r="L300" s="53" t="s">
        <v>906</v>
      </c>
      <c r="M300" s="17"/>
      <c r="Z300" s="28">
        <f t="shared" si="21"/>
        <v>0</v>
      </c>
      <c r="AB300" s="28">
        <f t="shared" si="22"/>
        <v>0</v>
      </c>
      <c r="AC300" s="28">
        <f t="shared" si="23"/>
        <v>0</v>
      </c>
      <c r="AD300" s="28">
        <f t="shared" si="24"/>
        <v>0</v>
      </c>
      <c r="AE300" s="28">
        <f t="shared" si="25"/>
        <v>0</v>
      </c>
      <c r="AF300" s="28">
        <f t="shared" si="26"/>
        <v>0</v>
      </c>
      <c r="AG300" s="28">
        <f t="shared" si="27"/>
        <v>0</v>
      </c>
      <c r="AH300" s="28">
        <f t="shared" si="28"/>
        <v>0</v>
      </c>
      <c r="AI300" s="56" t="s">
        <v>72</v>
      </c>
      <c r="AJ300" s="60">
        <f t="shared" si="29"/>
        <v>0</v>
      </c>
      <c r="AK300" s="60">
        <f t="shared" si="30"/>
        <v>0</v>
      </c>
      <c r="AL300" s="60">
        <f t="shared" si="31"/>
        <v>0</v>
      </c>
      <c r="AN300" s="28">
        <v>21</v>
      </c>
      <c r="AO300" s="28">
        <f>J300*0.883394000251036</f>
        <v>0</v>
      </c>
      <c r="AP300" s="28">
        <f>J300*(1-0.883394000251036)</f>
        <v>0</v>
      </c>
      <c r="AQ300" s="57" t="s">
        <v>88</v>
      </c>
      <c r="AV300" s="28">
        <f t="shared" si="32"/>
        <v>0</v>
      </c>
      <c r="AW300" s="28">
        <f t="shared" si="33"/>
        <v>0</v>
      </c>
      <c r="AX300" s="28">
        <f t="shared" si="34"/>
        <v>0</v>
      </c>
      <c r="AY300" s="59" t="s">
        <v>935</v>
      </c>
      <c r="AZ300" s="59" t="s">
        <v>960</v>
      </c>
      <c r="BA300" s="56" t="s">
        <v>966</v>
      </c>
      <c r="BC300" s="28">
        <f t="shared" si="35"/>
        <v>0</v>
      </c>
      <c r="BD300" s="28">
        <f t="shared" si="36"/>
        <v>0</v>
      </c>
      <c r="BE300" s="28">
        <v>0</v>
      </c>
      <c r="BF300" s="28">
        <f>300</f>
        <v>300</v>
      </c>
      <c r="BH300" s="60">
        <f t="shared" si="37"/>
        <v>0</v>
      </c>
      <c r="BI300" s="60">
        <f t="shared" si="38"/>
        <v>0</v>
      </c>
      <c r="BJ300" s="60">
        <f t="shared" si="39"/>
        <v>0</v>
      </c>
      <c r="BK300" s="60" t="s">
        <v>971</v>
      </c>
      <c r="BL300" s="28">
        <v>735</v>
      </c>
    </row>
    <row r="301" spans="1:64" x14ac:dyDescent="0.25">
      <c r="A301" s="33"/>
      <c r="B301" s="40" t="s">
        <v>376</v>
      </c>
      <c r="C301" s="144" t="s">
        <v>715</v>
      </c>
      <c r="D301" s="145"/>
      <c r="E301" s="145"/>
      <c r="F301" s="145"/>
      <c r="G301" s="145"/>
      <c r="H301" s="46" t="s">
        <v>58</v>
      </c>
      <c r="I301" s="46" t="s">
        <v>58</v>
      </c>
      <c r="J301" s="46" t="s">
        <v>58</v>
      </c>
      <c r="K301" s="65">
        <f>SUM(K302:K310)</f>
        <v>0</v>
      </c>
      <c r="L301" s="52"/>
      <c r="M301" s="17"/>
      <c r="AI301" s="56" t="s">
        <v>72</v>
      </c>
      <c r="AS301" s="65">
        <f>SUM(AJ302:AJ310)</f>
        <v>0</v>
      </c>
      <c r="AT301" s="65">
        <f>SUM(AK302:AK310)</f>
        <v>0</v>
      </c>
      <c r="AU301" s="65">
        <f>SUM(AL302:AL310)</f>
        <v>0</v>
      </c>
    </row>
    <row r="302" spans="1:64" x14ac:dyDescent="0.25">
      <c r="A302" s="34" t="s">
        <v>187</v>
      </c>
      <c r="B302" s="41" t="s">
        <v>377</v>
      </c>
      <c r="C302" s="146" t="s">
        <v>716</v>
      </c>
      <c r="D302" s="147"/>
      <c r="E302" s="147"/>
      <c r="F302" s="147"/>
      <c r="G302" s="147"/>
      <c r="H302" s="41" t="s">
        <v>891</v>
      </c>
      <c r="I302" s="76">
        <f>'Stavební rozpočet'!I302</f>
        <v>21.76</v>
      </c>
      <c r="J302" s="60"/>
      <c r="K302" s="60">
        <f>I302*J302</f>
        <v>0</v>
      </c>
      <c r="L302" s="53" t="s">
        <v>906</v>
      </c>
      <c r="M302" s="17"/>
      <c r="Z302" s="28">
        <f>IF(AQ302="5",BJ302,0)</f>
        <v>0</v>
      </c>
      <c r="AB302" s="28">
        <f>IF(AQ302="1",BH302,0)</f>
        <v>0</v>
      </c>
      <c r="AC302" s="28">
        <f>IF(AQ302="1",BI302,0)</f>
        <v>0</v>
      </c>
      <c r="AD302" s="28">
        <f>IF(AQ302="7",BH302,0)</f>
        <v>0</v>
      </c>
      <c r="AE302" s="28">
        <f>IF(AQ302="7",BI302,0)</f>
        <v>0</v>
      </c>
      <c r="AF302" s="28">
        <f>IF(AQ302="2",BH302,0)</f>
        <v>0</v>
      </c>
      <c r="AG302" s="28">
        <f>IF(AQ302="2",BI302,0)</f>
        <v>0</v>
      </c>
      <c r="AH302" s="28">
        <f>IF(AQ302="0",BJ302,0)</f>
        <v>0</v>
      </c>
      <c r="AI302" s="56" t="s">
        <v>72</v>
      </c>
      <c r="AJ302" s="60">
        <f>IF(AN302=0,K302,0)</f>
        <v>0</v>
      </c>
      <c r="AK302" s="60">
        <f>IF(AN302=15,K302,0)</f>
        <v>0</v>
      </c>
      <c r="AL302" s="60">
        <f>IF(AN302=21,K302,0)</f>
        <v>0</v>
      </c>
      <c r="AN302" s="28">
        <v>21</v>
      </c>
      <c r="AO302" s="28">
        <f>J302*0.770483472496654</f>
        <v>0</v>
      </c>
      <c r="AP302" s="28">
        <f>J302*(1-0.770483472496654)</f>
        <v>0</v>
      </c>
      <c r="AQ302" s="57" t="s">
        <v>88</v>
      </c>
      <c r="AV302" s="28">
        <f>AW302+AX302</f>
        <v>0</v>
      </c>
      <c r="AW302" s="28">
        <f>I302*AO302</f>
        <v>0</v>
      </c>
      <c r="AX302" s="28">
        <f>I302*AP302</f>
        <v>0</v>
      </c>
      <c r="AY302" s="59" t="s">
        <v>936</v>
      </c>
      <c r="AZ302" s="59" t="s">
        <v>960</v>
      </c>
      <c r="BA302" s="56" t="s">
        <v>966</v>
      </c>
      <c r="BC302" s="28">
        <f>AW302+AX302</f>
        <v>0</v>
      </c>
      <c r="BD302" s="28">
        <f>J302/(100-BE302)*100</f>
        <v>0</v>
      </c>
      <c r="BE302" s="28">
        <v>0</v>
      </c>
      <c r="BF302" s="28">
        <f>302</f>
        <v>302</v>
      </c>
      <c r="BH302" s="60">
        <f>I302*AO302</f>
        <v>0</v>
      </c>
      <c r="BI302" s="60">
        <f>I302*AP302</f>
        <v>0</v>
      </c>
      <c r="BJ302" s="60">
        <f>I302*J302</f>
        <v>0</v>
      </c>
      <c r="BK302" s="60" t="s">
        <v>971</v>
      </c>
      <c r="BL302" s="28">
        <v>736</v>
      </c>
    </row>
    <row r="303" spans="1:64" x14ac:dyDescent="0.25">
      <c r="A303" s="17"/>
      <c r="C303" s="148" t="s">
        <v>717</v>
      </c>
      <c r="D303" s="149"/>
      <c r="E303" s="149"/>
      <c r="F303" s="149"/>
      <c r="G303" s="149"/>
      <c r="I303" s="77">
        <v>10.26</v>
      </c>
      <c r="L303" s="14"/>
      <c r="M303" s="17"/>
    </row>
    <row r="304" spans="1:64" x14ac:dyDescent="0.25">
      <c r="A304" s="17"/>
      <c r="C304" s="148" t="s">
        <v>622</v>
      </c>
      <c r="D304" s="149"/>
      <c r="E304" s="149"/>
      <c r="F304" s="149"/>
      <c r="G304" s="149"/>
      <c r="H304" s="84"/>
      <c r="I304" s="77">
        <v>11.5</v>
      </c>
      <c r="J304" s="84"/>
      <c r="K304" s="84"/>
      <c r="L304" s="14"/>
      <c r="M304" s="17"/>
    </row>
    <row r="305" spans="1:64" x14ac:dyDescent="0.25">
      <c r="A305" s="34" t="s">
        <v>188</v>
      </c>
      <c r="B305" s="41" t="s">
        <v>378</v>
      </c>
      <c r="C305" s="146" t="s">
        <v>718</v>
      </c>
      <c r="D305" s="147"/>
      <c r="E305" s="147"/>
      <c r="F305" s="147"/>
      <c r="G305" s="147"/>
      <c r="H305" s="83" t="s">
        <v>891</v>
      </c>
      <c r="I305" s="76">
        <f>'Stavební rozpočet'!I305</f>
        <v>13.76</v>
      </c>
      <c r="J305" s="60"/>
      <c r="K305" s="60">
        <f>I305*J305</f>
        <v>0</v>
      </c>
      <c r="L305" s="53" t="s">
        <v>906</v>
      </c>
      <c r="M305" s="17"/>
      <c r="Z305" s="28">
        <f>IF(AQ305="5",BJ305,0)</f>
        <v>0</v>
      </c>
      <c r="AB305" s="28">
        <f>IF(AQ305="1",BH305,0)</f>
        <v>0</v>
      </c>
      <c r="AC305" s="28">
        <f>IF(AQ305="1",BI305,0)</f>
        <v>0</v>
      </c>
      <c r="AD305" s="28">
        <f>IF(AQ305="7",BH305,0)</f>
        <v>0</v>
      </c>
      <c r="AE305" s="28">
        <f>IF(AQ305="7",BI305,0)</f>
        <v>0</v>
      </c>
      <c r="AF305" s="28">
        <f>IF(AQ305="2",BH305,0)</f>
        <v>0</v>
      </c>
      <c r="AG305" s="28">
        <f>IF(AQ305="2",BI305,0)</f>
        <v>0</v>
      </c>
      <c r="AH305" s="28">
        <f>IF(AQ305="0",BJ305,0)</f>
        <v>0</v>
      </c>
      <c r="AI305" s="56" t="s">
        <v>72</v>
      </c>
      <c r="AJ305" s="60">
        <f>IF(AN305=0,K305,0)</f>
        <v>0</v>
      </c>
      <c r="AK305" s="60">
        <f>IF(AN305=15,K305,0)</f>
        <v>0</v>
      </c>
      <c r="AL305" s="60">
        <f>IF(AN305=21,K305,0)</f>
        <v>0</v>
      </c>
      <c r="AN305" s="28">
        <v>21</v>
      </c>
      <c r="AO305" s="28">
        <f>J305*0.444019524747139</f>
        <v>0</v>
      </c>
      <c r="AP305" s="28">
        <f>J305*(1-0.444019524747139)</f>
        <v>0</v>
      </c>
      <c r="AQ305" s="57" t="s">
        <v>88</v>
      </c>
      <c r="AV305" s="28">
        <f>AW305+AX305</f>
        <v>0</v>
      </c>
      <c r="AW305" s="28">
        <f>I305*AO305</f>
        <v>0</v>
      </c>
      <c r="AX305" s="28">
        <f>I305*AP305</f>
        <v>0</v>
      </c>
      <c r="AY305" s="59" t="s">
        <v>936</v>
      </c>
      <c r="AZ305" s="59" t="s">
        <v>960</v>
      </c>
      <c r="BA305" s="56" t="s">
        <v>966</v>
      </c>
      <c r="BC305" s="28">
        <f>AW305+AX305</f>
        <v>0</v>
      </c>
      <c r="BD305" s="28">
        <f>J305/(100-BE305)*100</f>
        <v>0</v>
      </c>
      <c r="BE305" s="28">
        <v>0</v>
      </c>
      <c r="BF305" s="28">
        <f>305</f>
        <v>305</v>
      </c>
      <c r="BH305" s="60">
        <f>I305*AO305</f>
        <v>0</v>
      </c>
      <c r="BI305" s="60">
        <f>I305*AP305</f>
        <v>0</v>
      </c>
      <c r="BJ305" s="60">
        <f>I305*J305</f>
        <v>0</v>
      </c>
      <c r="BK305" s="60" t="s">
        <v>971</v>
      </c>
      <c r="BL305" s="28">
        <v>736</v>
      </c>
    </row>
    <row r="306" spans="1:64" x14ac:dyDescent="0.25">
      <c r="A306" s="17"/>
      <c r="B306" s="42" t="s">
        <v>265</v>
      </c>
      <c r="C306" s="150" t="s">
        <v>719</v>
      </c>
      <c r="D306" s="151"/>
      <c r="E306" s="151"/>
      <c r="F306" s="151"/>
      <c r="G306" s="151"/>
      <c r="H306" s="151"/>
      <c r="I306" s="151"/>
      <c r="J306" s="151"/>
      <c r="K306" s="151"/>
      <c r="L306" s="152"/>
      <c r="M306" s="17"/>
    </row>
    <row r="307" spans="1:64" x14ac:dyDescent="0.25">
      <c r="A307" s="17"/>
      <c r="C307" s="148" t="s">
        <v>720</v>
      </c>
      <c r="D307" s="149"/>
      <c r="E307" s="149"/>
      <c r="F307" s="149"/>
      <c r="G307" s="149"/>
      <c r="H307" s="84"/>
      <c r="I307" s="77">
        <v>0</v>
      </c>
      <c r="J307" s="84"/>
      <c r="K307" s="84"/>
      <c r="L307" s="14"/>
      <c r="M307" s="17"/>
    </row>
    <row r="308" spans="1:64" x14ac:dyDescent="0.25">
      <c r="A308" s="17"/>
      <c r="C308" s="148" t="s">
        <v>721</v>
      </c>
      <c r="D308" s="149"/>
      <c r="E308" s="149"/>
      <c r="F308" s="149"/>
      <c r="G308" s="149"/>
      <c r="H308" s="84"/>
      <c r="I308" s="77">
        <v>4.3600000000000003</v>
      </c>
      <c r="J308" s="84"/>
      <c r="K308" s="84"/>
      <c r="L308" s="14"/>
      <c r="M308" s="17"/>
    </row>
    <row r="309" spans="1:64" x14ac:dyDescent="0.25">
      <c r="A309" s="17"/>
      <c r="C309" s="148" t="s">
        <v>722</v>
      </c>
      <c r="D309" s="149"/>
      <c r="E309" s="149"/>
      <c r="F309" s="149"/>
      <c r="G309" s="149"/>
      <c r="H309" s="84"/>
      <c r="I309" s="77">
        <v>9.4</v>
      </c>
      <c r="J309" s="84"/>
      <c r="K309" s="84"/>
      <c r="L309" s="14"/>
      <c r="M309" s="17"/>
    </row>
    <row r="310" spans="1:64" x14ac:dyDescent="0.25">
      <c r="A310" s="34" t="s">
        <v>189</v>
      </c>
      <c r="B310" s="41" t="s">
        <v>379</v>
      </c>
      <c r="C310" s="146" t="s">
        <v>723</v>
      </c>
      <c r="D310" s="147"/>
      <c r="E310" s="147"/>
      <c r="F310" s="147"/>
      <c r="G310" s="147"/>
      <c r="H310" s="83" t="s">
        <v>894</v>
      </c>
      <c r="I310" s="76">
        <f>'Stavební rozpočet'!I310</f>
        <v>3</v>
      </c>
      <c r="J310" s="60"/>
      <c r="K310" s="60">
        <f>I310*J310</f>
        <v>0</v>
      </c>
      <c r="L310" s="53" t="s">
        <v>906</v>
      </c>
      <c r="M310" s="17"/>
      <c r="Z310" s="28">
        <f>IF(AQ310="5",BJ310,0)</f>
        <v>0</v>
      </c>
      <c r="AB310" s="28">
        <f>IF(AQ310="1",BH310,0)</f>
        <v>0</v>
      </c>
      <c r="AC310" s="28">
        <f>IF(AQ310="1",BI310,0)</f>
        <v>0</v>
      </c>
      <c r="AD310" s="28">
        <f>IF(AQ310="7",BH310,0)</f>
        <v>0</v>
      </c>
      <c r="AE310" s="28">
        <f>IF(AQ310="7",BI310,0)</f>
        <v>0</v>
      </c>
      <c r="AF310" s="28">
        <f>IF(AQ310="2",BH310,0)</f>
        <v>0</v>
      </c>
      <c r="AG310" s="28">
        <f>IF(AQ310="2",BI310,0)</f>
        <v>0</v>
      </c>
      <c r="AH310" s="28">
        <f>IF(AQ310="0",BJ310,0)</f>
        <v>0</v>
      </c>
      <c r="AI310" s="56" t="s">
        <v>72</v>
      </c>
      <c r="AJ310" s="60">
        <f>IF(AN310=0,K310,0)</f>
        <v>0</v>
      </c>
      <c r="AK310" s="60">
        <f>IF(AN310=15,K310,0)</f>
        <v>0</v>
      </c>
      <c r="AL310" s="60">
        <f>IF(AN310=21,K310,0)</f>
        <v>0</v>
      </c>
      <c r="AN310" s="28">
        <v>21</v>
      </c>
      <c r="AO310" s="28">
        <f>J310*0.464928571428571</f>
        <v>0</v>
      </c>
      <c r="AP310" s="28">
        <f>J310*(1-0.464928571428571)</f>
        <v>0</v>
      </c>
      <c r="AQ310" s="57" t="s">
        <v>88</v>
      </c>
      <c r="AV310" s="28">
        <f>AW310+AX310</f>
        <v>0</v>
      </c>
      <c r="AW310" s="28">
        <f>I310*AO310</f>
        <v>0</v>
      </c>
      <c r="AX310" s="28">
        <f>I310*AP310</f>
        <v>0</v>
      </c>
      <c r="AY310" s="59" t="s">
        <v>936</v>
      </c>
      <c r="AZ310" s="59" t="s">
        <v>960</v>
      </c>
      <c r="BA310" s="56" t="s">
        <v>966</v>
      </c>
      <c r="BC310" s="28">
        <f>AW310+AX310</f>
        <v>0</v>
      </c>
      <c r="BD310" s="28">
        <f>J310/(100-BE310)*100</f>
        <v>0</v>
      </c>
      <c r="BE310" s="28">
        <v>0</v>
      </c>
      <c r="BF310" s="28">
        <f>310</f>
        <v>310</v>
      </c>
      <c r="BH310" s="60">
        <f>I310*AO310</f>
        <v>0</v>
      </c>
      <c r="BI310" s="60">
        <f>I310*AP310</f>
        <v>0</v>
      </c>
      <c r="BJ310" s="60">
        <f>I310*J310</f>
        <v>0</v>
      </c>
      <c r="BK310" s="60" t="s">
        <v>971</v>
      </c>
      <c r="BL310" s="28">
        <v>736</v>
      </c>
    </row>
    <row r="311" spans="1:64" x14ac:dyDescent="0.25">
      <c r="A311" s="17"/>
      <c r="C311" s="148" t="s">
        <v>667</v>
      </c>
      <c r="D311" s="149"/>
      <c r="E311" s="149"/>
      <c r="F311" s="149"/>
      <c r="G311" s="149"/>
      <c r="I311" s="77">
        <v>3</v>
      </c>
      <c r="L311" s="14"/>
      <c r="M311" s="17"/>
    </row>
    <row r="312" spans="1:64" x14ac:dyDescent="0.25">
      <c r="A312" s="33"/>
      <c r="B312" s="40" t="s">
        <v>380</v>
      </c>
      <c r="C312" s="144" t="s">
        <v>724</v>
      </c>
      <c r="D312" s="145"/>
      <c r="E312" s="145"/>
      <c r="F312" s="145"/>
      <c r="G312" s="145"/>
      <c r="H312" s="46" t="s">
        <v>58</v>
      </c>
      <c r="I312" s="46" t="s">
        <v>58</v>
      </c>
      <c r="J312" s="46" t="s">
        <v>58</v>
      </c>
      <c r="K312" s="65">
        <f>SUM(K313:K327)</f>
        <v>0</v>
      </c>
      <c r="L312" s="52"/>
      <c r="M312" s="17"/>
      <c r="AI312" s="56" t="s">
        <v>72</v>
      </c>
      <c r="AS312" s="65">
        <f>SUM(AJ313:AJ327)</f>
        <v>0</v>
      </c>
      <c r="AT312" s="65">
        <f>SUM(AK313:AK327)</f>
        <v>0</v>
      </c>
      <c r="AU312" s="65">
        <f>SUM(AL313:AL327)</f>
        <v>0</v>
      </c>
    </row>
    <row r="313" spans="1:64" x14ac:dyDescent="0.25">
      <c r="A313" s="34" t="s">
        <v>190</v>
      </c>
      <c r="B313" s="41" t="s">
        <v>381</v>
      </c>
      <c r="C313" s="146" t="s">
        <v>725</v>
      </c>
      <c r="D313" s="147"/>
      <c r="E313" s="147"/>
      <c r="F313" s="147"/>
      <c r="G313" s="147"/>
      <c r="H313" s="83" t="s">
        <v>891</v>
      </c>
      <c r="I313" s="76">
        <f>'Stavební rozpočet'!I313</f>
        <v>28.06</v>
      </c>
      <c r="J313" s="60"/>
      <c r="K313" s="60">
        <f>I313*J313</f>
        <v>0</v>
      </c>
      <c r="L313" s="53" t="s">
        <v>906</v>
      </c>
      <c r="M313" s="17"/>
      <c r="Z313" s="28">
        <f>IF(AQ313="5",BJ313,0)</f>
        <v>0</v>
      </c>
      <c r="AB313" s="28">
        <f>IF(AQ313="1",BH313,0)</f>
        <v>0</v>
      </c>
      <c r="AC313" s="28">
        <f>IF(AQ313="1",BI313,0)</f>
        <v>0</v>
      </c>
      <c r="AD313" s="28">
        <f>IF(AQ313="7",BH313,0)</f>
        <v>0</v>
      </c>
      <c r="AE313" s="28">
        <f>IF(AQ313="7",BI313,0)</f>
        <v>0</v>
      </c>
      <c r="AF313" s="28">
        <f>IF(AQ313="2",BH313,0)</f>
        <v>0</v>
      </c>
      <c r="AG313" s="28">
        <f>IF(AQ313="2",BI313,0)</f>
        <v>0</v>
      </c>
      <c r="AH313" s="28">
        <f>IF(AQ313="0",BJ313,0)</f>
        <v>0</v>
      </c>
      <c r="AI313" s="56" t="s">
        <v>72</v>
      </c>
      <c r="AJ313" s="60">
        <f>IF(AN313=0,K313,0)</f>
        <v>0</v>
      </c>
      <c r="AK313" s="60">
        <f>IF(AN313=15,K313,0)</f>
        <v>0</v>
      </c>
      <c r="AL313" s="60">
        <f>IF(AN313=21,K313,0)</f>
        <v>0</v>
      </c>
      <c r="AN313" s="28">
        <v>21</v>
      </c>
      <c r="AO313" s="28">
        <f>J313*0</f>
        <v>0</v>
      </c>
      <c r="AP313" s="28">
        <f>J313*(1-0)</f>
        <v>0</v>
      </c>
      <c r="AQ313" s="57" t="s">
        <v>88</v>
      </c>
      <c r="AV313" s="28">
        <f>AW313+AX313</f>
        <v>0</v>
      </c>
      <c r="AW313" s="28">
        <f>I313*AO313</f>
        <v>0</v>
      </c>
      <c r="AX313" s="28">
        <f>I313*AP313</f>
        <v>0</v>
      </c>
      <c r="AY313" s="59" t="s">
        <v>937</v>
      </c>
      <c r="AZ313" s="59" t="s">
        <v>961</v>
      </c>
      <c r="BA313" s="56" t="s">
        <v>966</v>
      </c>
      <c r="BC313" s="28">
        <f>AW313+AX313</f>
        <v>0</v>
      </c>
      <c r="BD313" s="28">
        <f>J313/(100-BE313)*100</f>
        <v>0</v>
      </c>
      <c r="BE313" s="28">
        <v>0</v>
      </c>
      <c r="BF313" s="28">
        <f>313</f>
        <v>313</v>
      </c>
      <c r="BH313" s="60">
        <f>I313*AO313</f>
        <v>0</v>
      </c>
      <c r="BI313" s="60">
        <f>I313*AP313</f>
        <v>0</v>
      </c>
      <c r="BJ313" s="60">
        <f>I313*J313</f>
        <v>0</v>
      </c>
      <c r="BK313" s="60" t="s">
        <v>971</v>
      </c>
      <c r="BL313" s="28">
        <v>762</v>
      </c>
    </row>
    <row r="314" spans="1:64" x14ac:dyDescent="0.25">
      <c r="A314" s="17"/>
      <c r="C314" s="148" t="s">
        <v>726</v>
      </c>
      <c r="D314" s="149"/>
      <c r="E314" s="149"/>
      <c r="F314" s="149"/>
      <c r="G314" s="149"/>
      <c r="H314" s="84"/>
      <c r="I314" s="77">
        <v>28.06</v>
      </c>
      <c r="J314" s="84"/>
      <c r="K314" s="84"/>
      <c r="L314" s="14"/>
      <c r="M314" s="17"/>
    </row>
    <row r="315" spans="1:64" x14ac:dyDescent="0.25">
      <c r="A315" s="34" t="s">
        <v>191</v>
      </c>
      <c r="B315" s="41" t="s">
        <v>382</v>
      </c>
      <c r="C315" s="146" t="s">
        <v>727</v>
      </c>
      <c r="D315" s="147"/>
      <c r="E315" s="147"/>
      <c r="F315" s="147"/>
      <c r="G315" s="147"/>
      <c r="H315" s="83" t="s">
        <v>895</v>
      </c>
      <c r="I315" s="76">
        <f>'Stavební rozpočet'!I315</f>
        <v>114.11</v>
      </c>
      <c r="J315" s="60"/>
      <c r="K315" s="60">
        <f>I315*J315</f>
        <v>0</v>
      </c>
      <c r="L315" s="53" t="s">
        <v>906</v>
      </c>
      <c r="M315" s="17"/>
      <c r="Z315" s="28">
        <f>IF(AQ315="5",BJ315,0)</f>
        <v>0</v>
      </c>
      <c r="AB315" s="28">
        <f>IF(AQ315="1",BH315,0)</f>
        <v>0</v>
      </c>
      <c r="AC315" s="28">
        <f>IF(AQ315="1",BI315,0)</f>
        <v>0</v>
      </c>
      <c r="AD315" s="28">
        <f>IF(AQ315="7",BH315,0)</f>
        <v>0</v>
      </c>
      <c r="AE315" s="28">
        <f>IF(AQ315="7",BI315,0)</f>
        <v>0</v>
      </c>
      <c r="AF315" s="28">
        <f>IF(AQ315="2",BH315,0)</f>
        <v>0</v>
      </c>
      <c r="AG315" s="28">
        <f>IF(AQ315="2",BI315,0)</f>
        <v>0</v>
      </c>
      <c r="AH315" s="28">
        <f>IF(AQ315="0",BJ315,0)</f>
        <v>0</v>
      </c>
      <c r="AI315" s="56" t="s">
        <v>72</v>
      </c>
      <c r="AJ315" s="60">
        <f>IF(AN315=0,K315,0)</f>
        <v>0</v>
      </c>
      <c r="AK315" s="60">
        <f>IF(AN315=15,K315,0)</f>
        <v>0</v>
      </c>
      <c r="AL315" s="60">
        <f>IF(AN315=21,K315,0)</f>
        <v>0</v>
      </c>
      <c r="AN315" s="28">
        <v>21</v>
      </c>
      <c r="AO315" s="28">
        <f>J315*0.440622703758286</f>
        <v>0</v>
      </c>
      <c r="AP315" s="28">
        <f>J315*(1-0.440622703758286)</f>
        <v>0</v>
      </c>
      <c r="AQ315" s="57" t="s">
        <v>88</v>
      </c>
      <c r="AV315" s="28">
        <f>AW315+AX315</f>
        <v>0</v>
      </c>
      <c r="AW315" s="28">
        <f>I315*AO315</f>
        <v>0</v>
      </c>
      <c r="AX315" s="28">
        <f>I315*AP315</f>
        <v>0</v>
      </c>
      <c r="AY315" s="59" t="s">
        <v>937</v>
      </c>
      <c r="AZ315" s="59" t="s">
        <v>961</v>
      </c>
      <c r="BA315" s="56" t="s">
        <v>966</v>
      </c>
      <c r="BC315" s="28">
        <f>AW315+AX315</f>
        <v>0</v>
      </c>
      <c r="BD315" s="28">
        <f>J315/(100-BE315)*100</f>
        <v>0</v>
      </c>
      <c r="BE315" s="28">
        <v>0</v>
      </c>
      <c r="BF315" s="28">
        <f>315</f>
        <v>315</v>
      </c>
      <c r="BH315" s="60">
        <f>I315*AO315</f>
        <v>0</v>
      </c>
      <c r="BI315" s="60">
        <f>I315*AP315</f>
        <v>0</v>
      </c>
      <c r="BJ315" s="60">
        <f>I315*J315</f>
        <v>0</v>
      </c>
      <c r="BK315" s="60" t="s">
        <v>971</v>
      </c>
      <c r="BL315" s="28">
        <v>762</v>
      </c>
    </row>
    <row r="316" spans="1:64" x14ac:dyDescent="0.25">
      <c r="A316" s="17"/>
      <c r="B316" s="42" t="s">
        <v>265</v>
      </c>
      <c r="C316" s="150" t="s">
        <v>728</v>
      </c>
      <c r="D316" s="151"/>
      <c r="E316" s="151"/>
      <c r="F316" s="151"/>
      <c r="G316" s="151"/>
      <c r="H316" s="151"/>
      <c r="I316" s="151"/>
      <c r="J316" s="151"/>
      <c r="K316" s="151"/>
      <c r="L316" s="152"/>
      <c r="M316" s="17"/>
    </row>
    <row r="317" spans="1:64" x14ac:dyDescent="0.25">
      <c r="A317" s="17"/>
      <c r="C317" s="148" t="s">
        <v>729</v>
      </c>
      <c r="D317" s="149"/>
      <c r="E317" s="149"/>
      <c r="F317" s="149"/>
      <c r="G317" s="149"/>
      <c r="H317" s="84"/>
      <c r="I317" s="77">
        <v>21.92</v>
      </c>
      <c r="J317" s="84"/>
      <c r="K317" s="84"/>
      <c r="L317" s="14"/>
      <c r="M317" s="17"/>
    </row>
    <row r="318" spans="1:64" x14ac:dyDescent="0.25">
      <c r="A318" s="17"/>
      <c r="C318" s="148" t="s">
        <v>730</v>
      </c>
      <c r="D318" s="149"/>
      <c r="E318" s="149"/>
      <c r="F318" s="149"/>
      <c r="G318" s="149"/>
      <c r="H318" s="84"/>
      <c r="I318" s="77">
        <v>5</v>
      </c>
      <c r="J318" s="84"/>
      <c r="K318" s="84"/>
      <c r="L318" s="14"/>
      <c r="M318" s="17"/>
    </row>
    <row r="319" spans="1:64" x14ac:dyDescent="0.25">
      <c r="A319" s="17"/>
      <c r="C319" s="148" t="s">
        <v>731</v>
      </c>
      <c r="D319" s="149"/>
      <c r="E319" s="149"/>
      <c r="F319" s="149"/>
      <c r="G319" s="149"/>
      <c r="I319" s="77">
        <v>5</v>
      </c>
      <c r="L319" s="14"/>
      <c r="M319" s="17"/>
    </row>
    <row r="320" spans="1:64" x14ac:dyDescent="0.25">
      <c r="A320" s="17"/>
      <c r="C320" s="148" t="s">
        <v>732</v>
      </c>
      <c r="D320" s="149"/>
      <c r="E320" s="149"/>
      <c r="F320" s="149"/>
      <c r="G320" s="149"/>
      <c r="I320" s="77">
        <v>46.08</v>
      </c>
      <c r="L320" s="14"/>
      <c r="M320" s="17"/>
    </row>
    <row r="321" spans="1:64" x14ac:dyDescent="0.25">
      <c r="A321" s="17"/>
      <c r="C321" s="148" t="s">
        <v>733</v>
      </c>
      <c r="D321" s="149"/>
      <c r="E321" s="149"/>
      <c r="F321" s="149"/>
      <c r="G321" s="149"/>
      <c r="I321" s="77">
        <v>6.2</v>
      </c>
      <c r="L321" s="14"/>
      <c r="M321" s="17"/>
    </row>
    <row r="322" spans="1:64" x14ac:dyDescent="0.25">
      <c r="A322" s="17"/>
      <c r="C322" s="148" t="s">
        <v>734</v>
      </c>
      <c r="D322" s="149"/>
      <c r="E322" s="149"/>
      <c r="F322" s="149"/>
      <c r="G322" s="149"/>
      <c r="I322" s="77">
        <v>5.6</v>
      </c>
      <c r="L322" s="14"/>
      <c r="M322" s="17"/>
    </row>
    <row r="323" spans="1:64" x14ac:dyDescent="0.25">
      <c r="A323" s="17"/>
      <c r="C323" s="148" t="s">
        <v>735</v>
      </c>
      <c r="D323" s="149"/>
      <c r="E323" s="149"/>
      <c r="F323" s="149"/>
      <c r="G323" s="149"/>
      <c r="I323" s="77">
        <v>5.6</v>
      </c>
      <c r="L323" s="14"/>
      <c r="M323" s="17"/>
    </row>
    <row r="324" spans="1:64" x14ac:dyDescent="0.25">
      <c r="A324" s="17"/>
      <c r="C324" s="148" t="s">
        <v>736</v>
      </c>
      <c r="D324" s="149"/>
      <c r="E324" s="149"/>
      <c r="F324" s="149"/>
      <c r="G324" s="149"/>
      <c r="I324" s="77">
        <v>10.199999999999999</v>
      </c>
      <c r="L324" s="14"/>
      <c r="M324" s="17"/>
    </row>
    <row r="325" spans="1:64" x14ac:dyDescent="0.25">
      <c r="A325" s="17"/>
      <c r="C325" s="148" t="s">
        <v>737</v>
      </c>
      <c r="D325" s="149"/>
      <c r="E325" s="149"/>
      <c r="F325" s="149"/>
      <c r="G325" s="149"/>
      <c r="I325" s="77">
        <v>6.81</v>
      </c>
      <c r="L325" s="14"/>
      <c r="M325" s="17"/>
    </row>
    <row r="326" spans="1:64" x14ac:dyDescent="0.25">
      <c r="A326" s="17"/>
      <c r="C326" s="148" t="s">
        <v>738</v>
      </c>
      <c r="D326" s="149"/>
      <c r="E326" s="149"/>
      <c r="F326" s="149"/>
      <c r="G326" s="149"/>
      <c r="I326" s="77">
        <v>1.7</v>
      </c>
      <c r="L326" s="14"/>
      <c r="M326" s="17"/>
    </row>
    <row r="327" spans="1:64" x14ac:dyDescent="0.25">
      <c r="A327" s="34" t="s">
        <v>192</v>
      </c>
      <c r="B327" s="41" t="s">
        <v>383</v>
      </c>
      <c r="C327" s="146" t="s">
        <v>739</v>
      </c>
      <c r="D327" s="147"/>
      <c r="E327" s="147"/>
      <c r="F327" s="147"/>
      <c r="G327" s="147"/>
      <c r="H327" s="41" t="s">
        <v>895</v>
      </c>
      <c r="I327" s="76">
        <f>'Stavební rozpočet'!I327</f>
        <v>9.4</v>
      </c>
      <c r="J327" s="60"/>
      <c r="K327" s="60">
        <f>I327*J327</f>
        <v>0</v>
      </c>
      <c r="L327" s="53"/>
      <c r="M327" s="17"/>
      <c r="Z327" s="28">
        <f>IF(AQ327="5",BJ327,0)</f>
        <v>0</v>
      </c>
      <c r="AB327" s="28">
        <f>IF(AQ327="1",BH327,0)</f>
        <v>0</v>
      </c>
      <c r="AC327" s="28">
        <f>IF(AQ327="1",BI327,0)</f>
        <v>0</v>
      </c>
      <c r="AD327" s="28">
        <f>IF(AQ327="7",BH327,0)</f>
        <v>0</v>
      </c>
      <c r="AE327" s="28">
        <f>IF(AQ327="7",BI327,0)</f>
        <v>0</v>
      </c>
      <c r="AF327" s="28">
        <f>IF(AQ327="2",BH327,0)</f>
        <v>0</v>
      </c>
      <c r="AG327" s="28">
        <f>IF(AQ327="2",BI327,0)</f>
        <v>0</v>
      </c>
      <c r="AH327" s="28">
        <f>IF(AQ327="0",BJ327,0)</f>
        <v>0</v>
      </c>
      <c r="AI327" s="56" t="s">
        <v>72</v>
      </c>
      <c r="AJ327" s="60">
        <f>IF(AN327=0,K327,0)</f>
        <v>0</v>
      </c>
      <c r="AK327" s="60">
        <f>IF(AN327=15,K327,0)</f>
        <v>0</v>
      </c>
      <c r="AL327" s="60">
        <f>IF(AN327=21,K327,0)</f>
        <v>0</v>
      </c>
      <c r="AN327" s="28">
        <v>21</v>
      </c>
      <c r="AO327" s="28">
        <f>J327*0.835598421744849</f>
        <v>0</v>
      </c>
      <c r="AP327" s="28">
        <f>J327*(1-0.835598421744849)</f>
        <v>0</v>
      </c>
      <c r="AQ327" s="57" t="s">
        <v>88</v>
      </c>
      <c r="AV327" s="28">
        <f>AW327+AX327</f>
        <v>0</v>
      </c>
      <c r="AW327" s="28">
        <f>I327*AO327</f>
        <v>0</v>
      </c>
      <c r="AX327" s="28">
        <f>I327*AP327</f>
        <v>0</v>
      </c>
      <c r="AY327" s="59" t="s">
        <v>937</v>
      </c>
      <c r="AZ327" s="59" t="s">
        <v>961</v>
      </c>
      <c r="BA327" s="56" t="s">
        <v>966</v>
      </c>
      <c r="BC327" s="28">
        <f>AW327+AX327</f>
        <v>0</v>
      </c>
      <c r="BD327" s="28">
        <f>J327/(100-BE327)*100</f>
        <v>0</v>
      </c>
      <c r="BE327" s="28">
        <v>0</v>
      </c>
      <c r="BF327" s="28">
        <f>327</f>
        <v>327</v>
      </c>
      <c r="BH327" s="60">
        <f>I327*AO327</f>
        <v>0</v>
      </c>
      <c r="BI327" s="60">
        <f>I327*AP327</f>
        <v>0</v>
      </c>
      <c r="BJ327" s="60">
        <f>I327*J327</f>
        <v>0</v>
      </c>
      <c r="BK327" s="60" t="s">
        <v>971</v>
      </c>
      <c r="BL327" s="28">
        <v>762</v>
      </c>
    </row>
    <row r="328" spans="1:64" x14ac:dyDescent="0.25">
      <c r="A328" s="33"/>
      <c r="B328" s="40" t="s">
        <v>384</v>
      </c>
      <c r="C328" s="144" t="s">
        <v>740</v>
      </c>
      <c r="D328" s="145"/>
      <c r="E328" s="145"/>
      <c r="F328" s="145"/>
      <c r="G328" s="145"/>
      <c r="H328" s="46" t="s">
        <v>58</v>
      </c>
      <c r="I328" s="46" t="s">
        <v>58</v>
      </c>
      <c r="J328" s="46" t="s">
        <v>58</v>
      </c>
      <c r="K328" s="65">
        <f>SUM(K329:K344)</f>
        <v>0</v>
      </c>
      <c r="L328" s="52"/>
      <c r="M328" s="17"/>
      <c r="AI328" s="56" t="s">
        <v>72</v>
      </c>
      <c r="AS328" s="65">
        <f>SUM(AJ329:AJ344)</f>
        <v>0</v>
      </c>
      <c r="AT328" s="65">
        <f>SUM(AK329:AK344)</f>
        <v>0</v>
      </c>
      <c r="AU328" s="65">
        <f>SUM(AL329:AL344)</f>
        <v>0</v>
      </c>
    </row>
    <row r="329" spans="1:64" x14ac:dyDescent="0.25">
      <c r="A329" s="34" t="s">
        <v>193</v>
      </c>
      <c r="B329" s="41" t="s">
        <v>385</v>
      </c>
      <c r="C329" s="146" t="s">
        <v>741</v>
      </c>
      <c r="D329" s="147"/>
      <c r="E329" s="147"/>
      <c r="F329" s="147"/>
      <c r="G329" s="147"/>
      <c r="H329" s="83" t="s">
        <v>891</v>
      </c>
      <c r="I329" s="76">
        <f>'Stavební rozpočet'!I329</f>
        <v>346.32</v>
      </c>
      <c r="J329" s="60"/>
      <c r="K329" s="60">
        <f>I329*J329</f>
        <v>0</v>
      </c>
      <c r="L329" s="53" t="s">
        <v>906</v>
      </c>
      <c r="M329" s="17"/>
      <c r="Z329" s="28">
        <f>IF(AQ329="5",BJ329,0)</f>
        <v>0</v>
      </c>
      <c r="AB329" s="28">
        <f>IF(AQ329="1",BH329,0)</f>
        <v>0</v>
      </c>
      <c r="AC329" s="28">
        <f>IF(AQ329="1",BI329,0)</f>
        <v>0</v>
      </c>
      <c r="AD329" s="28">
        <f>IF(AQ329="7",BH329,0)</f>
        <v>0</v>
      </c>
      <c r="AE329" s="28">
        <f>IF(AQ329="7",BI329,0)</f>
        <v>0</v>
      </c>
      <c r="AF329" s="28">
        <f>IF(AQ329="2",BH329,0)</f>
        <v>0</v>
      </c>
      <c r="AG329" s="28">
        <f>IF(AQ329="2",BI329,0)</f>
        <v>0</v>
      </c>
      <c r="AH329" s="28">
        <f>IF(AQ329="0",BJ329,0)</f>
        <v>0</v>
      </c>
      <c r="AI329" s="56" t="s">
        <v>72</v>
      </c>
      <c r="AJ329" s="60">
        <f>IF(AN329=0,K329,0)</f>
        <v>0</v>
      </c>
      <c r="AK329" s="60">
        <f>IF(AN329=15,K329,0)</f>
        <v>0</v>
      </c>
      <c r="AL329" s="60">
        <f>IF(AN329=21,K329,0)</f>
        <v>0</v>
      </c>
      <c r="AN329" s="28">
        <v>21</v>
      </c>
      <c r="AO329" s="28">
        <f>J329*0</f>
        <v>0</v>
      </c>
      <c r="AP329" s="28">
        <f>J329*(1-0)</f>
        <v>0</v>
      </c>
      <c r="AQ329" s="57" t="s">
        <v>88</v>
      </c>
      <c r="AV329" s="28">
        <f>AW329+AX329</f>
        <v>0</v>
      </c>
      <c r="AW329" s="28">
        <f>I329*AO329</f>
        <v>0</v>
      </c>
      <c r="AX329" s="28">
        <f>I329*AP329</f>
        <v>0</v>
      </c>
      <c r="AY329" s="59" t="s">
        <v>938</v>
      </c>
      <c r="AZ329" s="59" t="s">
        <v>961</v>
      </c>
      <c r="BA329" s="56" t="s">
        <v>966</v>
      </c>
      <c r="BC329" s="28">
        <f>AW329+AX329</f>
        <v>0</v>
      </c>
      <c r="BD329" s="28">
        <f>J329/(100-BE329)*100</f>
        <v>0</v>
      </c>
      <c r="BE329" s="28">
        <v>0</v>
      </c>
      <c r="BF329" s="28">
        <f>329</f>
        <v>329</v>
      </c>
      <c r="BH329" s="60">
        <f>I329*AO329</f>
        <v>0</v>
      </c>
      <c r="BI329" s="60">
        <f>I329*AP329</f>
        <v>0</v>
      </c>
      <c r="BJ329" s="60">
        <f>I329*J329</f>
        <v>0</v>
      </c>
      <c r="BK329" s="60" t="s">
        <v>971</v>
      </c>
      <c r="BL329" s="28">
        <v>764</v>
      </c>
    </row>
    <row r="330" spans="1:64" x14ac:dyDescent="0.25">
      <c r="A330" s="17"/>
      <c r="C330" s="148" t="s">
        <v>742</v>
      </c>
      <c r="D330" s="149"/>
      <c r="E330" s="149"/>
      <c r="F330" s="149"/>
      <c r="G330" s="149"/>
      <c r="H330" s="84"/>
      <c r="I330" s="77">
        <v>346.32</v>
      </c>
      <c r="J330" s="84"/>
      <c r="K330" s="84"/>
      <c r="L330" s="14"/>
      <c r="M330" s="17"/>
    </row>
    <row r="331" spans="1:64" x14ac:dyDescent="0.25">
      <c r="A331" s="34" t="s">
        <v>194</v>
      </c>
      <c r="B331" s="41" t="s">
        <v>386</v>
      </c>
      <c r="C331" s="146" t="s">
        <v>743</v>
      </c>
      <c r="D331" s="147"/>
      <c r="E331" s="147"/>
      <c r="F331" s="147"/>
      <c r="G331" s="147"/>
      <c r="H331" s="83" t="s">
        <v>895</v>
      </c>
      <c r="I331" s="76">
        <f>'Stavební rozpočet'!I331</f>
        <v>53.05</v>
      </c>
      <c r="J331" s="60"/>
      <c r="K331" s="60">
        <f>I331*J331</f>
        <v>0</v>
      </c>
      <c r="L331" s="53" t="s">
        <v>906</v>
      </c>
      <c r="M331" s="17"/>
      <c r="Z331" s="28">
        <f>IF(AQ331="5",BJ331,0)</f>
        <v>0</v>
      </c>
      <c r="AB331" s="28">
        <f>IF(AQ331="1",BH331,0)</f>
        <v>0</v>
      </c>
      <c r="AC331" s="28">
        <f>IF(AQ331="1",BI331,0)</f>
        <v>0</v>
      </c>
      <c r="AD331" s="28">
        <f>IF(AQ331="7",BH331,0)</f>
        <v>0</v>
      </c>
      <c r="AE331" s="28">
        <f>IF(AQ331="7",BI331,0)</f>
        <v>0</v>
      </c>
      <c r="AF331" s="28">
        <f>IF(AQ331="2",BH331,0)</f>
        <v>0</v>
      </c>
      <c r="AG331" s="28">
        <f>IF(AQ331="2",BI331,0)</f>
        <v>0</v>
      </c>
      <c r="AH331" s="28">
        <f>IF(AQ331="0",BJ331,0)</f>
        <v>0</v>
      </c>
      <c r="AI331" s="56" t="s">
        <v>72</v>
      </c>
      <c r="AJ331" s="60">
        <f>IF(AN331=0,K331,0)</f>
        <v>0</v>
      </c>
      <c r="AK331" s="60">
        <f>IF(AN331=15,K331,0)</f>
        <v>0</v>
      </c>
      <c r="AL331" s="60">
        <f>IF(AN331=21,K331,0)</f>
        <v>0</v>
      </c>
      <c r="AN331" s="28">
        <v>21</v>
      </c>
      <c r="AO331" s="28">
        <f>J331*0.212072774641022</f>
        <v>0</v>
      </c>
      <c r="AP331" s="28">
        <f>J331*(1-0.212072774641022)</f>
        <v>0</v>
      </c>
      <c r="AQ331" s="57" t="s">
        <v>88</v>
      </c>
      <c r="AV331" s="28">
        <f>AW331+AX331</f>
        <v>0</v>
      </c>
      <c r="AW331" s="28">
        <f>I331*AO331</f>
        <v>0</v>
      </c>
      <c r="AX331" s="28">
        <f>I331*AP331</f>
        <v>0</v>
      </c>
      <c r="AY331" s="59" t="s">
        <v>938</v>
      </c>
      <c r="AZ331" s="59" t="s">
        <v>961</v>
      </c>
      <c r="BA331" s="56" t="s">
        <v>966</v>
      </c>
      <c r="BC331" s="28">
        <f>AW331+AX331</f>
        <v>0</v>
      </c>
      <c r="BD331" s="28">
        <f>J331/(100-BE331)*100</f>
        <v>0</v>
      </c>
      <c r="BE331" s="28">
        <v>0</v>
      </c>
      <c r="BF331" s="28">
        <f>331</f>
        <v>331</v>
      </c>
      <c r="BH331" s="60">
        <f>I331*AO331</f>
        <v>0</v>
      </c>
      <c r="BI331" s="60">
        <f>I331*AP331</f>
        <v>0</v>
      </c>
      <c r="BJ331" s="60">
        <f>I331*J331</f>
        <v>0</v>
      </c>
      <c r="BK331" s="60" t="s">
        <v>971</v>
      </c>
      <c r="BL331" s="28">
        <v>764</v>
      </c>
    </row>
    <row r="332" spans="1:64" x14ac:dyDescent="0.25">
      <c r="A332" s="17"/>
      <c r="C332" s="148" t="s">
        <v>744</v>
      </c>
      <c r="D332" s="149"/>
      <c r="E332" s="149"/>
      <c r="F332" s="149"/>
      <c r="G332" s="149"/>
      <c r="H332" s="84"/>
      <c r="I332" s="77">
        <v>40.950000000000003</v>
      </c>
      <c r="J332" s="84"/>
      <c r="K332" s="84"/>
      <c r="L332" s="14"/>
      <c r="M332" s="17"/>
    </row>
    <row r="333" spans="1:64" x14ac:dyDescent="0.25">
      <c r="A333" s="17"/>
      <c r="C333" s="148" t="s">
        <v>745</v>
      </c>
      <c r="D333" s="149"/>
      <c r="E333" s="149"/>
      <c r="F333" s="149"/>
      <c r="G333" s="149"/>
      <c r="H333" s="84"/>
      <c r="I333" s="77">
        <v>12.1</v>
      </c>
      <c r="J333" s="84"/>
      <c r="K333" s="84"/>
      <c r="L333" s="14"/>
      <c r="M333" s="17"/>
    </row>
    <row r="334" spans="1:64" x14ac:dyDescent="0.25">
      <c r="A334" s="34" t="s">
        <v>195</v>
      </c>
      <c r="B334" s="41" t="s">
        <v>387</v>
      </c>
      <c r="C334" s="146" t="s">
        <v>746</v>
      </c>
      <c r="D334" s="147"/>
      <c r="E334" s="147"/>
      <c r="F334" s="147"/>
      <c r="G334" s="147"/>
      <c r="H334" s="83" t="s">
        <v>895</v>
      </c>
      <c r="I334" s="76">
        <f>'Stavební rozpočet'!I334</f>
        <v>19.7</v>
      </c>
      <c r="J334" s="60"/>
      <c r="K334" s="60">
        <f>I334*J334</f>
        <v>0</v>
      </c>
      <c r="L334" s="53" t="s">
        <v>906</v>
      </c>
      <c r="M334" s="17"/>
      <c r="Z334" s="28">
        <f>IF(AQ334="5",BJ334,0)</f>
        <v>0</v>
      </c>
      <c r="AB334" s="28">
        <f>IF(AQ334="1",BH334,0)</f>
        <v>0</v>
      </c>
      <c r="AC334" s="28">
        <f>IF(AQ334="1",BI334,0)</f>
        <v>0</v>
      </c>
      <c r="AD334" s="28">
        <f>IF(AQ334="7",BH334,0)</f>
        <v>0</v>
      </c>
      <c r="AE334" s="28">
        <f>IF(AQ334="7",BI334,0)</f>
        <v>0</v>
      </c>
      <c r="AF334" s="28">
        <f>IF(AQ334="2",BH334,0)</f>
        <v>0</v>
      </c>
      <c r="AG334" s="28">
        <f>IF(AQ334="2",BI334,0)</f>
        <v>0</v>
      </c>
      <c r="AH334" s="28">
        <f>IF(AQ334="0",BJ334,0)</f>
        <v>0</v>
      </c>
      <c r="AI334" s="56" t="s">
        <v>72</v>
      </c>
      <c r="AJ334" s="60">
        <f>IF(AN334=0,K334,0)</f>
        <v>0</v>
      </c>
      <c r="AK334" s="60">
        <f>IF(AN334=15,K334,0)</f>
        <v>0</v>
      </c>
      <c r="AL334" s="60">
        <f>IF(AN334=21,K334,0)</f>
        <v>0</v>
      </c>
      <c r="AN334" s="28">
        <v>21</v>
      </c>
      <c r="AO334" s="28">
        <f>J334*0.718178137651822</f>
        <v>0</v>
      </c>
      <c r="AP334" s="28">
        <f>J334*(1-0.718178137651822)</f>
        <v>0</v>
      </c>
      <c r="AQ334" s="57" t="s">
        <v>88</v>
      </c>
      <c r="AV334" s="28">
        <f>AW334+AX334</f>
        <v>0</v>
      </c>
      <c r="AW334" s="28">
        <f>I334*AO334</f>
        <v>0</v>
      </c>
      <c r="AX334" s="28">
        <f>I334*AP334</f>
        <v>0</v>
      </c>
      <c r="AY334" s="59" t="s">
        <v>938</v>
      </c>
      <c r="AZ334" s="59" t="s">
        <v>961</v>
      </c>
      <c r="BA334" s="56" t="s">
        <v>966</v>
      </c>
      <c r="BC334" s="28">
        <f>AW334+AX334</f>
        <v>0</v>
      </c>
      <c r="BD334" s="28">
        <f>J334/(100-BE334)*100</f>
        <v>0</v>
      </c>
      <c r="BE334" s="28">
        <v>0</v>
      </c>
      <c r="BF334" s="28">
        <f>334</f>
        <v>334</v>
      </c>
      <c r="BH334" s="60">
        <f>I334*AO334</f>
        <v>0</v>
      </c>
      <c r="BI334" s="60">
        <f>I334*AP334</f>
        <v>0</v>
      </c>
      <c r="BJ334" s="60">
        <f>I334*J334</f>
        <v>0</v>
      </c>
      <c r="BK334" s="60" t="s">
        <v>971</v>
      </c>
      <c r="BL334" s="28">
        <v>764</v>
      </c>
    </row>
    <row r="335" spans="1:64" x14ac:dyDescent="0.25">
      <c r="A335" s="17"/>
      <c r="C335" s="148" t="s">
        <v>747</v>
      </c>
      <c r="D335" s="149"/>
      <c r="E335" s="149"/>
      <c r="F335" s="149"/>
      <c r="G335" s="149"/>
      <c r="H335" s="84"/>
      <c r="I335" s="77">
        <v>14</v>
      </c>
      <c r="J335" s="84"/>
      <c r="K335" s="84"/>
      <c r="L335" s="14"/>
      <c r="M335" s="17"/>
    </row>
    <row r="336" spans="1:64" x14ac:dyDescent="0.25">
      <c r="A336" s="17"/>
      <c r="C336" s="148" t="s">
        <v>748</v>
      </c>
      <c r="D336" s="149"/>
      <c r="E336" s="149"/>
      <c r="F336" s="149"/>
      <c r="G336" s="149"/>
      <c r="H336" s="84"/>
      <c r="I336" s="77">
        <v>5.7</v>
      </c>
      <c r="J336" s="84"/>
      <c r="K336" s="84"/>
      <c r="L336" s="14"/>
      <c r="M336" s="17"/>
    </row>
    <row r="337" spans="1:64" x14ac:dyDescent="0.25">
      <c r="A337" s="34" t="s">
        <v>196</v>
      </c>
      <c r="B337" s="41" t="s">
        <v>388</v>
      </c>
      <c r="C337" s="146" t="s">
        <v>749</v>
      </c>
      <c r="D337" s="147"/>
      <c r="E337" s="147"/>
      <c r="F337" s="147"/>
      <c r="G337" s="147"/>
      <c r="H337" s="83" t="s">
        <v>891</v>
      </c>
      <c r="I337" s="76">
        <f>'Stavební rozpočet'!I337</f>
        <v>345.46699999999998</v>
      </c>
      <c r="J337" s="60"/>
      <c r="K337" s="60">
        <f>I337*J337</f>
        <v>0</v>
      </c>
      <c r="L337" s="53" t="s">
        <v>906</v>
      </c>
      <c r="M337" s="17"/>
      <c r="Z337" s="28">
        <f>IF(AQ337="5",BJ337,0)</f>
        <v>0</v>
      </c>
      <c r="AB337" s="28">
        <f>IF(AQ337="1",BH337,0)</f>
        <v>0</v>
      </c>
      <c r="AC337" s="28">
        <f>IF(AQ337="1",BI337,0)</f>
        <v>0</v>
      </c>
      <c r="AD337" s="28">
        <f>IF(AQ337="7",BH337,0)</f>
        <v>0</v>
      </c>
      <c r="AE337" s="28">
        <f>IF(AQ337="7",BI337,0)</f>
        <v>0</v>
      </c>
      <c r="AF337" s="28">
        <f>IF(AQ337="2",BH337,0)</f>
        <v>0</v>
      </c>
      <c r="AG337" s="28">
        <f>IF(AQ337="2",BI337,0)</f>
        <v>0</v>
      </c>
      <c r="AH337" s="28">
        <f>IF(AQ337="0",BJ337,0)</f>
        <v>0</v>
      </c>
      <c r="AI337" s="56" t="s">
        <v>72</v>
      </c>
      <c r="AJ337" s="60">
        <f>IF(AN337=0,K337,0)</f>
        <v>0</v>
      </c>
      <c r="AK337" s="60">
        <f>IF(AN337=15,K337,0)</f>
        <v>0</v>
      </c>
      <c r="AL337" s="60">
        <f>IF(AN337=21,K337,0)</f>
        <v>0</v>
      </c>
      <c r="AN337" s="28">
        <v>21</v>
      </c>
      <c r="AO337" s="28">
        <f>J337*0.333550618560156</f>
        <v>0</v>
      </c>
      <c r="AP337" s="28">
        <f>J337*(1-0.333550618560156)</f>
        <v>0</v>
      </c>
      <c r="AQ337" s="57" t="s">
        <v>88</v>
      </c>
      <c r="AV337" s="28">
        <f>AW337+AX337</f>
        <v>0</v>
      </c>
      <c r="AW337" s="28">
        <f>I337*AO337</f>
        <v>0</v>
      </c>
      <c r="AX337" s="28">
        <f>I337*AP337</f>
        <v>0</v>
      </c>
      <c r="AY337" s="59" t="s">
        <v>938</v>
      </c>
      <c r="AZ337" s="59" t="s">
        <v>961</v>
      </c>
      <c r="BA337" s="56" t="s">
        <v>966</v>
      </c>
      <c r="BC337" s="28">
        <f>AW337+AX337</f>
        <v>0</v>
      </c>
      <c r="BD337" s="28">
        <f>J337/(100-BE337)*100</f>
        <v>0</v>
      </c>
      <c r="BE337" s="28">
        <v>0</v>
      </c>
      <c r="BF337" s="28">
        <f>337</f>
        <v>337</v>
      </c>
      <c r="BH337" s="60">
        <f>I337*AO337</f>
        <v>0</v>
      </c>
      <c r="BI337" s="60">
        <f>I337*AP337</f>
        <v>0</v>
      </c>
      <c r="BJ337" s="60">
        <f>I337*J337</f>
        <v>0</v>
      </c>
      <c r="BK337" s="60" t="s">
        <v>971</v>
      </c>
      <c r="BL337" s="28">
        <v>764</v>
      </c>
    </row>
    <row r="338" spans="1:64" x14ac:dyDescent="0.25">
      <c r="A338" s="17"/>
      <c r="B338" s="42" t="s">
        <v>265</v>
      </c>
      <c r="C338" s="150" t="s">
        <v>750</v>
      </c>
      <c r="D338" s="151"/>
      <c r="E338" s="151"/>
      <c r="F338" s="151"/>
      <c r="G338" s="151"/>
      <c r="H338" s="151"/>
      <c r="I338" s="151"/>
      <c r="J338" s="151"/>
      <c r="K338" s="151"/>
      <c r="L338" s="152"/>
      <c r="M338" s="17"/>
    </row>
    <row r="339" spans="1:64" x14ac:dyDescent="0.25">
      <c r="A339" s="17"/>
      <c r="C339" s="148" t="s">
        <v>751</v>
      </c>
      <c r="D339" s="149"/>
      <c r="E339" s="149"/>
      <c r="F339" s="149"/>
      <c r="G339" s="149"/>
      <c r="I339" s="77">
        <v>170.82</v>
      </c>
      <c r="L339" s="14"/>
      <c r="M339" s="17"/>
    </row>
    <row r="340" spans="1:64" x14ac:dyDescent="0.25">
      <c r="A340" s="17"/>
      <c r="C340" s="148" t="s">
        <v>752</v>
      </c>
      <c r="D340" s="149"/>
      <c r="E340" s="149"/>
      <c r="F340" s="149"/>
      <c r="G340" s="149"/>
      <c r="I340" s="77">
        <v>128.11500000000001</v>
      </c>
      <c r="L340" s="14"/>
      <c r="M340" s="17"/>
    </row>
    <row r="341" spans="1:64" x14ac:dyDescent="0.25">
      <c r="A341" s="17"/>
      <c r="C341" s="148" t="s">
        <v>753</v>
      </c>
      <c r="D341" s="149"/>
      <c r="E341" s="149"/>
      <c r="F341" s="149"/>
      <c r="G341" s="149"/>
      <c r="I341" s="77">
        <v>16.988</v>
      </c>
      <c r="L341" s="14"/>
      <c r="M341" s="17"/>
    </row>
    <row r="342" spans="1:64" x14ac:dyDescent="0.25">
      <c r="A342" s="17"/>
      <c r="C342" s="148" t="s">
        <v>754</v>
      </c>
      <c r="D342" s="149"/>
      <c r="E342" s="149"/>
      <c r="F342" s="149"/>
      <c r="G342" s="149"/>
      <c r="I342" s="77">
        <v>-6.23</v>
      </c>
      <c r="L342" s="14"/>
      <c r="M342" s="17"/>
    </row>
    <row r="343" spans="1:64" x14ac:dyDescent="0.25">
      <c r="A343" s="17"/>
      <c r="C343" s="148" t="s">
        <v>755</v>
      </c>
      <c r="D343" s="149"/>
      <c r="E343" s="149"/>
      <c r="F343" s="149"/>
      <c r="G343" s="149"/>
      <c r="I343" s="77">
        <v>35.774000000000001</v>
      </c>
      <c r="L343" s="14"/>
      <c r="M343" s="17"/>
    </row>
    <row r="344" spans="1:64" x14ac:dyDescent="0.25">
      <c r="A344" s="34" t="s">
        <v>197</v>
      </c>
      <c r="B344" s="41" t="s">
        <v>389</v>
      </c>
      <c r="C344" s="146" t="s">
        <v>756</v>
      </c>
      <c r="D344" s="147"/>
      <c r="E344" s="147"/>
      <c r="F344" s="147"/>
      <c r="G344" s="147"/>
      <c r="H344" s="41" t="s">
        <v>897</v>
      </c>
      <c r="I344" s="76">
        <f>'Stavební rozpočet'!I344</f>
        <v>1</v>
      </c>
      <c r="J344" s="60"/>
      <c r="K344" s="60">
        <f>I344*J344</f>
        <v>0</v>
      </c>
      <c r="L344" s="53" t="s">
        <v>906</v>
      </c>
      <c r="M344" s="17"/>
      <c r="Z344" s="28">
        <f>IF(AQ344="5",BJ344,0)</f>
        <v>0</v>
      </c>
      <c r="AB344" s="28">
        <f>IF(AQ344="1",BH344,0)</f>
        <v>0</v>
      </c>
      <c r="AC344" s="28">
        <f>IF(AQ344="1",BI344,0)</f>
        <v>0</v>
      </c>
      <c r="AD344" s="28">
        <f>IF(AQ344="7",BH344,0)</f>
        <v>0</v>
      </c>
      <c r="AE344" s="28">
        <f>IF(AQ344="7",BI344,0)</f>
        <v>0</v>
      </c>
      <c r="AF344" s="28">
        <f>IF(AQ344="2",BH344,0)</f>
        <v>0</v>
      </c>
      <c r="AG344" s="28">
        <f>IF(AQ344="2",BI344,0)</f>
        <v>0</v>
      </c>
      <c r="AH344" s="28">
        <f>IF(AQ344="0",BJ344,0)</f>
        <v>0</v>
      </c>
      <c r="AI344" s="56" t="s">
        <v>72</v>
      </c>
      <c r="AJ344" s="60">
        <f>IF(AN344=0,K344,0)</f>
        <v>0</v>
      </c>
      <c r="AK344" s="60">
        <f>IF(AN344=15,K344,0)</f>
        <v>0</v>
      </c>
      <c r="AL344" s="60">
        <f>IF(AN344=21,K344,0)</f>
        <v>0</v>
      </c>
      <c r="AN344" s="28">
        <v>21</v>
      </c>
      <c r="AO344" s="28">
        <f>J344*1</f>
        <v>0</v>
      </c>
      <c r="AP344" s="28">
        <f>J344*(1-1)</f>
        <v>0</v>
      </c>
      <c r="AQ344" s="57" t="s">
        <v>88</v>
      </c>
      <c r="AV344" s="28">
        <f>AW344+AX344</f>
        <v>0</v>
      </c>
      <c r="AW344" s="28">
        <f>I344*AO344</f>
        <v>0</v>
      </c>
      <c r="AX344" s="28">
        <f>I344*AP344</f>
        <v>0</v>
      </c>
      <c r="AY344" s="59" t="s">
        <v>938</v>
      </c>
      <c r="AZ344" s="59" t="s">
        <v>961</v>
      </c>
      <c r="BA344" s="56" t="s">
        <v>966</v>
      </c>
      <c r="BC344" s="28">
        <f>AW344+AX344</f>
        <v>0</v>
      </c>
      <c r="BD344" s="28">
        <f>J344/(100-BE344)*100</f>
        <v>0</v>
      </c>
      <c r="BE344" s="28">
        <v>0</v>
      </c>
      <c r="BF344" s="28">
        <f>344</f>
        <v>344</v>
      </c>
      <c r="BH344" s="60">
        <f>I344*AO344</f>
        <v>0</v>
      </c>
      <c r="BI344" s="60">
        <f>I344*AP344</f>
        <v>0</v>
      </c>
      <c r="BJ344" s="60">
        <f>I344*J344</f>
        <v>0</v>
      </c>
      <c r="BK344" s="60" t="s">
        <v>971</v>
      </c>
      <c r="BL344" s="28">
        <v>764</v>
      </c>
    </row>
    <row r="345" spans="1:64" x14ac:dyDescent="0.25">
      <c r="A345" s="33"/>
      <c r="B345" s="40" t="s">
        <v>390</v>
      </c>
      <c r="C345" s="144" t="s">
        <v>757</v>
      </c>
      <c r="D345" s="145"/>
      <c r="E345" s="145"/>
      <c r="F345" s="145"/>
      <c r="G345" s="145"/>
      <c r="H345" s="46" t="s">
        <v>58</v>
      </c>
      <c r="I345" s="46" t="s">
        <v>58</v>
      </c>
      <c r="J345" s="46" t="s">
        <v>58</v>
      </c>
      <c r="K345" s="65">
        <f>SUM(K346:K346)</f>
        <v>0</v>
      </c>
      <c r="L345" s="52"/>
      <c r="M345" s="17"/>
      <c r="AI345" s="56" t="s">
        <v>72</v>
      </c>
      <c r="AS345" s="65">
        <f>SUM(AJ346:AJ346)</f>
        <v>0</v>
      </c>
      <c r="AT345" s="65">
        <f>SUM(AK346:AK346)</f>
        <v>0</v>
      </c>
      <c r="AU345" s="65">
        <f>SUM(AL346:AL346)</f>
        <v>0</v>
      </c>
    </row>
    <row r="346" spans="1:64" x14ac:dyDescent="0.25">
      <c r="A346" s="34" t="s">
        <v>198</v>
      </c>
      <c r="B346" s="41" t="s">
        <v>391</v>
      </c>
      <c r="C346" s="146" t="s">
        <v>758</v>
      </c>
      <c r="D346" s="147"/>
      <c r="E346" s="147"/>
      <c r="F346" s="147"/>
      <c r="G346" s="147"/>
      <c r="H346" s="41" t="s">
        <v>891</v>
      </c>
      <c r="I346" s="76">
        <f>'Stavební rozpočet'!I346</f>
        <v>345.46699999999998</v>
      </c>
      <c r="J346" s="60"/>
      <c r="K346" s="60">
        <f>I346*J346</f>
        <v>0</v>
      </c>
      <c r="L346" s="53" t="s">
        <v>906</v>
      </c>
      <c r="M346" s="17"/>
      <c r="Z346" s="28">
        <f>IF(AQ346="5",BJ346,0)</f>
        <v>0</v>
      </c>
      <c r="AB346" s="28">
        <f>IF(AQ346="1",BH346,0)</f>
        <v>0</v>
      </c>
      <c r="AC346" s="28">
        <f>IF(AQ346="1",BI346,0)</f>
        <v>0</v>
      </c>
      <c r="AD346" s="28">
        <f>IF(AQ346="7",BH346,0)</f>
        <v>0</v>
      </c>
      <c r="AE346" s="28">
        <f>IF(AQ346="7",BI346,0)</f>
        <v>0</v>
      </c>
      <c r="AF346" s="28">
        <f>IF(AQ346="2",BH346,0)</f>
        <v>0</v>
      </c>
      <c r="AG346" s="28">
        <f>IF(AQ346="2",BI346,0)</f>
        <v>0</v>
      </c>
      <c r="AH346" s="28">
        <f>IF(AQ346="0",BJ346,0)</f>
        <v>0</v>
      </c>
      <c r="AI346" s="56" t="s">
        <v>72</v>
      </c>
      <c r="AJ346" s="60">
        <f>IF(AN346=0,K346,0)</f>
        <v>0</v>
      </c>
      <c r="AK346" s="60">
        <f>IF(AN346=15,K346,0)</f>
        <v>0</v>
      </c>
      <c r="AL346" s="60">
        <f>IF(AN346=21,K346,0)</f>
        <v>0</v>
      </c>
      <c r="AN346" s="28">
        <v>21</v>
      </c>
      <c r="AO346" s="28">
        <f>J346*0.268931377455782</f>
        <v>0</v>
      </c>
      <c r="AP346" s="28">
        <f>J346*(1-0.268931377455782)</f>
        <v>0</v>
      </c>
      <c r="AQ346" s="57" t="s">
        <v>88</v>
      </c>
      <c r="AV346" s="28">
        <f>AW346+AX346</f>
        <v>0</v>
      </c>
      <c r="AW346" s="28">
        <f>I346*AO346</f>
        <v>0</v>
      </c>
      <c r="AX346" s="28">
        <f>I346*AP346</f>
        <v>0</v>
      </c>
      <c r="AY346" s="59" t="s">
        <v>939</v>
      </c>
      <c r="AZ346" s="59" t="s">
        <v>961</v>
      </c>
      <c r="BA346" s="56" t="s">
        <v>966</v>
      </c>
      <c r="BC346" s="28">
        <f>AW346+AX346</f>
        <v>0</v>
      </c>
      <c r="BD346" s="28">
        <f>J346/(100-BE346)*100</f>
        <v>0</v>
      </c>
      <c r="BE346" s="28">
        <v>0</v>
      </c>
      <c r="BF346" s="28">
        <f>346</f>
        <v>346</v>
      </c>
      <c r="BH346" s="60">
        <f>I346*AO346</f>
        <v>0</v>
      </c>
      <c r="BI346" s="60">
        <f>I346*AP346</f>
        <v>0</v>
      </c>
      <c r="BJ346" s="60">
        <f>I346*J346</f>
        <v>0</v>
      </c>
      <c r="BK346" s="60" t="s">
        <v>971</v>
      </c>
      <c r="BL346" s="28">
        <v>765</v>
      </c>
    </row>
    <row r="347" spans="1:64" x14ac:dyDescent="0.25">
      <c r="A347" s="17"/>
      <c r="B347" s="42" t="s">
        <v>265</v>
      </c>
      <c r="C347" s="150" t="s">
        <v>759</v>
      </c>
      <c r="D347" s="151"/>
      <c r="E347" s="151"/>
      <c r="F347" s="151"/>
      <c r="G347" s="151"/>
      <c r="H347" s="151"/>
      <c r="I347" s="151"/>
      <c r="J347" s="151"/>
      <c r="K347" s="151"/>
      <c r="L347" s="152"/>
      <c r="M347" s="17"/>
    </row>
    <row r="348" spans="1:64" x14ac:dyDescent="0.25">
      <c r="A348" s="17"/>
      <c r="C348" s="148" t="s">
        <v>751</v>
      </c>
      <c r="D348" s="149"/>
      <c r="E348" s="149"/>
      <c r="F348" s="149"/>
      <c r="G348" s="149"/>
      <c r="I348" s="77">
        <v>170.82</v>
      </c>
      <c r="L348" s="14"/>
      <c r="M348" s="17"/>
    </row>
    <row r="349" spans="1:64" x14ac:dyDescent="0.25">
      <c r="A349" s="17"/>
      <c r="C349" s="148" t="s">
        <v>752</v>
      </c>
      <c r="D349" s="149"/>
      <c r="E349" s="149"/>
      <c r="F349" s="149"/>
      <c r="G349" s="149"/>
      <c r="I349" s="77">
        <v>128.11500000000001</v>
      </c>
      <c r="L349" s="14"/>
      <c r="M349" s="17"/>
    </row>
    <row r="350" spans="1:64" x14ac:dyDescent="0.25">
      <c r="A350" s="17"/>
      <c r="C350" s="148" t="s">
        <v>760</v>
      </c>
      <c r="D350" s="149"/>
      <c r="E350" s="149"/>
      <c r="F350" s="149"/>
      <c r="G350" s="149"/>
      <c r="I350" s="77">
        <v>35.774000000000001</v>
      </c>
      <c r="L350" s="14"/>
      <c r="M350" s="17"/>
    </row>
    <row r="351" spans="1:64" x14ac:dyDescent="0.25">
      <c r="A351" s="17"/>
      <c r="C351" s="148" t="s">
        <v>761</v>
      </c>
      <c r="D351" s="149"/>
      <c r="E351" s="149"/>
      <c r="F351" s="149"/>
      <c r="G351" s="149"/>
      <c r="I351" s="77">
        <v>-6.23</v>
      </c>
      <c r="L351" s="14"/>
      <c r="M351" s="17"/>
    </row>
    <row r="352" spans="1:64" x14ac:dyDescent="0.25">
      <c r="A352" s="17"/>
      <c r="C352" s="148" t="s">
        <v>762</v>
      </c>
      <c r="D352" s="149"/>
      <c r="E352" s="149"/>
      <c r="F352" s="149"/>
      <c r="G352" s="149"/>
      <c r="I352" s="77">
        <v>16.988</v>
      </c>
      <c r="L352" s="14"/>
      <c r="M352" s="17"/>
    </row>
    <row r="353" spans="1:64" x14ac:dyDescent="0.25">
      <c r="A353" s="33"/>
      <c r="B353" s="40" t="s">
        <v>392</v>
      </c>
      <c r="C353" s="144" t="s">
        <v>763</v>
      </c>
      <c r="D353" s="145"/>
      <c r="E353" s="145"/>
      <c r="F353" s="145"/>
      <c r="G353" s="145"/>
      <c r="H353" s="46" t="s">
        <v>58</v>
      </c>
      <c r="I353" s="46" t="s">
        <v>58</v>
      </c>
      <c r="J353" s="46" t="s">
        <v>58</v>
      </c>
      <c r="K353" s="65">
        <f>SUM(K354:K373)</f>
        <v>0</v>
      </c>
      <c r="L353" s="52"/>
      <c r="M353" s="17"/>
      <c r="AI353" s="56" t="s">
        <v>72</v>
      </c>
      <c r="AS353" s="65">
        <f>SUM(AJ354:AJ373)</f>
        <v>0</v>
      </c>
      <c r="AT353" s="65">
        <f>SUM(AK354:AK373)</f>
        <v>0</v>
      </c>
      <c r="AU353" s="65">
        <f>SUM(AL354:AL373)</f>
        <v>0</v>
      </c>
    </row>
    <row r="354" spans="1:64" x14ac:dyDescent="0.25">
      <c r="A354" s="34" t="s">
        <v>199</v>
      </c>
      <c r="B354" s="41" t="s">
        <v>393</v>
      </c>
      <c r="C354" s="146" t="s">
        <v>764</v>
      </c>
      <c r="D354" s="147"/>
      <c r="E354" s="147"/>
      <c r="F354" s="147"/>
      <c r="G354" s="147"/>
      <c r="H354" s="41" t="s">
        <v>894</v>
      </c>
      <c r="I354" s="76">
        <f>'Stavební rozpočet'!I354</f>
        <v>8</v>
      </c>
      <c r="J354" s="60"/>
      <c r="K354" s="60">
        <f t="shared" ref="K354:K373" si="40">I354*J354</f>
        <v>0</v>
      </c>
      <c r="L354" s="53" t="s">
        <v>906</v>
      </c>
      <c r="M354" s="17"/>
      <c r="Z354" s="28">
        <f t="shared" ref="Z354:Z373" si="41">IF(AQ354="5",BJ354,0)</f>
        <v>0</v>
      </c>
      <c r="AB354" s="28">
        <f t="shared" ref="AB354:AB373" si="42">IF(AQ354="1",BH354,0)</f>
        <v>0</v>
      </c>
      <c r="AC354" s="28">
        <f t="shared" ref="AC354:AC373" si="43">IF(AQ354="1",BI354,0)</f>
        <v>0</v>
      </c>
      <c r="AD354" s="28">
        <f t="shared" ref="AD354:AD373" si="44">IF(AQ354="7",BH354,0)</f>
        <v>0</v>
      </c>
      <c r="AE354" s="28">
        <f t="shared" ref="AE354:AE373" si="45">IF(AQ354="7",BI354,0)</f>
        <v>0</v>
      </c>
      <c r="AF354" s="28">
        <f t="shared" ref="AF354:AF373" si="46">IF(AQ354="2",BH354,0)</f>
        <v>0</v>
      </c>
      <c r="AG354" s="28">
        <f t="shared" ref="AG354:AG373" si="47">IF(AQ354="2",BI354,0)</f>
        <v>0</v>
      </c>
      <c r="AH354" s="28">
        <f t="shared" ref="AH354:AH373" si="48">IF(AQ354="0",BJ354,0)</f>
        <v>0</v>
      </c>
      <c r="AI354" s="56" t="s">
        <v>72</v>
      </c>
      <c r="AJ354" s="60">
        <f t="shared" ref="AJ354:AJ373" si="49">IF(AN354=0,K354,0)</f>
        <v>0</v>
      </c>
      <c r="AK354" s="60">
        <f t="shared" ref="AK354:AK373" si="50">IF(AN354=15,K354,0)</f>
        <v>0</v>
      </c>
      <c r="AL354" s="60">
        <f t="shared" ref="AL354:AL373" si="51">IF(AN354=21,K354,0)</f>
        <v>0</v>
      </c>
      <c r="AN354" s="28">
        <v>21</v>
      </c>
      <c r="AO354" s="28">
        <f>J354*0.904102620796677</f>
        <v>0</v>
      </c>
      <c r="AP354" s="28">
        <f>J354*(1-0.904102620796677)</f>
        <v>0</v>
      </c>
      <c r="AQ354" s="57" t="s">
        <v>88</v>
      </c>
      <c r="AV354" s="28">
        <f t="shared" ref="AV354:AV373" si="52">AW354+AX354</f>
        <v>0</v>
      </c>
      <c r="AW354" s="28">
        <f t="shared" ref="AW354:AW373" si="53">I354*AO354</f>
        <v>0</v>
      </c>
      <c r="AX354" s="28">
        <f t="shared" ref="AX354:AX373" si="54">I354*AP354</f>
        <v>0</v>
      </c>
      <c r="AY354" s="59" t="s">
        <v>940</v>
      </c>
      <c r="AZ354" s="59" t="s">
        <v>961</v>
      </c>
      <c r="BA354" s="56" t="s">
        <v>966</v>
      </c>
      <c r="BC354" s="28">
        <f t="shared" ref="BC354:BC373" si="55">AW354+AX354</f>
        <v>0</v>
      </c>
      <c r="BD354" s="28">
        <f t="shared" ref="BD354:BD373" si="56">J354/(100-BE354)*100</f>
        <v>0</v>
      </c>
      <c r="BE354" s="28">
        <v>0</v>
      </c>
      <c r="BF354" s="28">
        <f>354</f>
        <v>354</v>
      </c>
      <c r="BH354" s="60">
        <f t="shared" ref="BH354:BH373" si="57">I354*AO354</f>
        <v>0</v>
      </c>
      <c r="BI354" s="60">
        <f t="shared" ref="BI354:BI373" si="58">I354*AP354</f>
        <v>0</v>
      </c>
      <c r="BJ354" s="60">
        <f t="shared" ref="BJ354:BJ373" si="59">I354*J354</f>
        <v>0</v>
      </c>
      <c r="BK354" s="60" t="s">
        <v>971</v>
      </c>
      <c r="BL354" s="28">
        <v>766</v>
      </c>
    </row>
    <row r="355" spans="1:64" x14ac:dyDescent="0.25">
      <c r="A355" s="34" t="s">
        <v>200</v>
      </c>
      <c r="B355" s="41" t="s">
        <v>394</v>
      </c>
      <c r="C355" s="146" t="s">
        <v>765</v>
      </c>
      <c r="D355" s="147"/>
      <c r="E355" s="147"/>
      <c r="F355" s="147"/>
      <c r="G355" s="147"/>
      <c r="H355" s="41" t="s">
        <v>897</v>
      </c>
      <c r="I355" s="76">
        <f>'Stavební rozpočet'!I355</f>
        <v>1</v>
      </c>
      <c r="J355" s="60"/>
      <c r="K355" s="60">
        <f t="shared" si="40"/>
        <v>0</v>
      </c>
      <c r="L355" s="53" t="s">
        <v>906</v>
      </c>
      <c r="M355" s="17"/>
      <c r="Z355" s="28">
        <f t="shared" si="41"/>
        <v>0</v>
      </c>
      <c r="AB355" s="28">
        <f t="shared" si="42"/>
        <v>0</v>
      </c>
      <c r="AC355" s="28">
        <f t="shared" si="43"/>
        <v>0</v>
      </c>
      <c r="AD355" s="28">
        <f t="shared" si="44"/>
        <v>0</v>
      </c>
      <c r="AE355" s="28">
        <f t="shared" si="45"/>
        <v>0</v>
      </c>
      <c r="AF355" s="28">
        <f t="shared" si="46"/>
        <v>0</v>
      </c>
      <c r="AG355" s="28">
        <f t="shared" si="47"/>
        <v>0</v>
      </c>
      <c r="AH355" s="28">
        <f t="shared" si="48"/>
        <v>0</v>
      </c>
      <c r="AI355" s="56" t="s">
        <v>72</v>
      </c>
      <c r="AJ355" s="60">
        <f t="shared" si="49"/>
        <v>0</v>
      </c>
      <c r="AK355" s="60">
        <f t="shared" si="50"/>
        <v>0</v>
      </c>
      <c r="AL355" s="60">
        <f t="shared" si="51"/>
        <v>0</v>
      </c>
      <c r="AN355" s="28">
        <v>21</v>
      </c>
      <c r="AO355" s="28">
        <f t="shared" ref="AO355:AO373" si="60">J355*1</f>
        <v>0</v>
      </c>
      <c r="AP355" s="28">
        <f t="shared" ref="AP355:AP373" si="61">J355*(1-1)</f>
        <v>0</v>
      </c>
      <c r="AQ355" s="57" t="s">
        <v>88</v>
      </c>
      <c r="AV355" s="28">
        <f t="shared" si="52"/>
        <v>0</v>
      </c>
      <c r="AW355" s="28">
        <f t="shared" si="53"/>
        <v>0</v>
      </c>
      <c r="AX355" s="28">
        <f t="shared" si="54"/>
        <v>0</v>
      </c>
      <c r="AY355" s="59" t="s">
        <v>940</v>
      </c>
      <c r="AZ355" s="59" t="s">
        <v>961</v>
      </c>
      <c r="BA355" s="56" t="s">
        <v>966</v>
      </c>
      <c r="BC355" s="28">
        <f t="shared" si="55"/>
        <v>0</v>
      </c>
      <c r="BD355" s="28">
        <f t="shared" si="56"/>
        <v>0</v>
      </c>
      <c r="BE355" s="28">
        <v>0</v>
      </c>
      <c r="BF355" s="28">
        <f>355</f>
        <v>355</v>
      </c>
      <c r="BH355" s="60">
        <f t="shared" si="57"/>
        <v>0</v>
      </c>
      <c r="BI355" s="60">
        <f t="shared" si="58"/>
        <v>0</v>
      </c>
      <c r="BJ355" s="60">
        <f t="shared" si="59"/>
        <v>0</v>
      </c>
      <c r="BK355" s="60" t="s">
        <v>971</v>
      </c>
      <c r="BL355" s="28">
        <v>766</v>
      </c>
    </row>
    <row r="356" spans="1:64" x14ac:dyDescent="0.25">
      <c r="A356" s="34" t="s">
        <v>201</v>
      </c>
      <c r="B356" s="41" t="s">
        <v>395</v>
      </c>
      <c r="C356" s="146" t="s">
        <v>766</v>
      </c>
      <c r="D356" s="147"/>
      <c r="E356" s="147"/>
      <c r="F356" s="147"/>
      <c r="G356" s="147"/>
      <c r="H356" s="41" t="s">
        <v>897</v>
      </c>
      <c r="I356" s="76">
        <f>'Stavební rozpočet'!I356</f>
        <v>3</v>
      </c>
      <c r="J356" s="60"/>
      <c r="K356" s="60">
        <f t="shared" si="40"/>
        <v>0</v>
      </c>
      <c r="L356" s="53" t="s">
        <v>906</v>
      </c>
      <c r="M356" s="17"/>
      <c r="Z356" s="28">
        <f t="shared" si="41"/>
        <v>0</v>
      </c>
      <c r="AB356" s="28">
        <f t="shared" si="42"/>
        <v>0</v>
      </c>
      <c r="AC356" s="28">
        <f t="shared" si="43"/>
        <v>0</v>
      </c>
      <c r="AD356" s="28">
        <f t="shared" si="44"/>
        <v>0</v>
      </c>
      <c r="AE356" s="28">
        <f t="shared" si="45"/>
        <v>0</v>
      </c>
      <c r="AF356" s="28">
        <f t="shared" si="46"/>
        <v>0</v>
      </c>
      <c r="AG356" s="28">
        <f t="shared" si="47"/>
        <v>0</v>
      </c>
      <c r="AH356" s="28">
        <f t="shared" si="48"/>
        <v>0</v>
      </c>
      <c r="AI356" s="56" t="s">
        <v>72</v>
      </c>
      <c r="AJ356" s="60">
        <f t="shared" si="49"/>
        <v>0</v>
      </c>
      <c r="AK356" s="60">
        <f t="shared" si="50"/>
        <v>0</v>
      </c>
      <c r="AL356" s="60">
        <f t="shared" si="51"/>
        <v>0</v>
      </c>
      <c r="AN356" s="28">
        <v>21</v>
      </c>
      <c r="AO356" s="28">
        <f t="shared" si="60"/>
        <v>0</v>
      </c>
      <c r="AP356" s="28">
        <f t="shared" si="61"/>
        <v>0</v>
      </c>
      <c r="AQ356" s="57" t="s">
        <v>88</v>
      </c>
      <c r="AV356" s="28">
        <f t="shared" si="52"/>
        <v>0</v>
      </c>
      <c r="AW356" s="28">
        <f t="shared" si="53"/>
        <v>0</v>
      </c>
      <c r="AX356" s="28">
        <f t="shared" si="54"/>
        <v>0</v>
      </c>
      <c r="AY356" s="59" t="s">
        <v>940</v>
      </c>
      <c r="AZ356" s="59" t="s">
        <v>961</v>
      </c>
      <c r="BA356" s="56" t="s">
        <v>966</v>
      </c>
      <c r="BC356" s="28">
        <f t="shared" si="55"/>
        <v>0</v>
      </c>
      <c r="BD356" s="28">
        <f t="shared" si="56"/>
        <v>0</v>
      </c>
      <c r="BE356" s="28">
        <v>0</v>
      </c>
      <c r="BF356" s="28">
        <f>356</f>
        <v>356</v>
      </c>
      <c r="BH356" s="60">
        <f t="shared" si="57"/>
        <v>0</v>
      </c>
      <c r="BI356" s="60">
        <f t="shared" si="58"/>
        <v>0</v>
      </c>
      <c r="BJ356" s="60">
        <f t="shared" si="59"/>
        <v>0</v>
      </c>
      <c r="BK356" s="60" t="s">
        <v>971</v>
      </c>
      <c r="BL356" s="28">
        <v>766</v>
      </c>
    </row>
    <row r="357" spans="1:64" x14ac:dyDescent="0.25">
      <c r="A357" s="34" t="s">
        <v>202</v>
      </c>
      <c r="B357" s="41" t="s">
        <v>396</v>
      </c>
      <c r="C357" s="146" t="s">
        <v>767</v>
      </c>
      <c r="D357" s="147"/>
      <c r="E357" s="147"/>
      <c r="F357" s="147"/>
      <c r="G357" s="147"/>
      <c r="H357" s="41" t="s">
        <v>897</v>
      </c>
      <c r="I357" s="76">
        <f>'Stavební rozpočet'!I357</f>
        <v>3</v>
      </c>
      <c r="J357" s="60"/>
      <c r="K357" s="60">
        <f t="shared" si="40"/>
        <v>0</v>
      </c>
      <c r="L357" s="53" t="s">
        <v>906</v>
      </c>
      <c r="M357" s="17"/>
      <c r="Z357" s="28">
        <f t="shared" si="41"/>
        <v>0</v>
      </c>
      <c r="AB357" s="28">
        <f t="shared" si="42"/>
        <v>0</v>
      </c>
      <c r="AC357" s="28">
        <f t="shared" si="43"/>
        <v>0</v>
      </c>
      <c r="AD357" s="28">
        <f t="shared" si="44"/>
        <v>0</v>
      </c>
      <c r="AE357" s="28">
        <f t="shared" si="45"/>
        <v>0</v>
      </c>
      <c r="AF357" s="28">
        <f t="shared" si="46"/>
        <v>0</v>
      </c>
      <c r="AG357" s="28">
        <f t="shared" si="47"/>
        <v>0</v>
      </c>
      <c r="AH357" s="28">
        <f t="shared" si="48"/>
        <v>0</v>
      </c>
      <c r="AI357" s="56" t="s">
        <v>72</v>
      </c>
      <c r="AJ357" s="60">
        <f t="shared" si="49"/>
        <v>0</v>
      </c>
      <c r="AK357" s="60">
        <f t="shared" si="50"/>
        <v>0</v>
      </c>
      <c r="AL357" s="60">
        <f t="shared" si="51"/>
        <v>0</v>
      </c>
      <c r="AN357" s="28">
        <v>21</v>
      </c>
      <c r="AO357" s="28">
        <f t="shared" si="60"/>
        <v>0</v>
      </c>
      <c r="AP357" s="28">
        <f t="shared" si="61"/>
        <v>0</v>
      </c>
      <c r="AQ357" s="57" t="s">
        <v>88</v>
      </c>
      <c r="AV357" s="28">
        <f t="shared" si="52"/>
        <v>0</v>
      </c>
      <c r="AW357" s="28">
        <f t="shared" si="53"/>
        <v>0</v>
      </c>
      <c r="AX357" s="28">
        <f t="shared" si="54"/>
        <v>0</v>
      </c>
      <c r="AY357" s="59" t="s">
        <v>940</v>
      </c>
      <c r="AZ357" s="59" t="s">
        <v>961</v>
      </c>
      <c r="BA357" s="56" t="s">
        <v>966</v>
      </c>
      <c r="BC357" s="28">
        <f t="shared" si="55"/>
        <v>0</v>
      </c>
      <c r="BD357" s="28">
        <f t="shared" si="56"/>
        <v>0</v>
      </c>
      <c r="BE357" s="28">
        <v>0</v>
      </c>
      <c r="BF357" s="28">
        <f>357</f>
        <v>357</v>
      </c>
      <c r="BH357" s="60">
        <f t="shared" si="57"/>
        <v>0</v>
      </c>
      <c r="BI357" s="60">
        <f t="shared" si="58"/>
        <v>0</v>
      </c>
      <c r="BJ357" s="60">
        <f t="shared" si="59"/>
        <v>0</v>
      </c>
      <c r="BK357" s="60" t="s">
        <v>971</v>
      </c>
      <c r="BL357" s="28">
        <v>766</v>
      </c>
    </row>
    <row r="358" spans="1:64" x14ac:dyDescent="0.25">
      <c r="A358" s="34" t="s">
        <v>203</v>
      </c>
      <c r="B358" s="41" t="s">
        <v>397</v>
      </c>
      <c r="C358" s="146" t="s">
        <v>768</v>
      </c>
      <c r="D358" s="147"/>
      <c r="E358" s="147"/>
      <c r="F358" s="147"/>
      <c r="G358" s="147"/>
      <c r="H358" s="41" t="s">
        <v>897</v>
      </c>
      <c r="I358" s="76">
        <f>'Stavební rozpočet'!I358</f>
        <v>1</v>
      </c>
      <c r="J358" s="60"/>
      <c r="K358" s="60">
        <f t="shared" si="40"/>
        <v>0</v>
      </c>
      <c r="L358" s="53" t="s">
        <v>906</v>
      </c>
      <c r="M358" s="17"/>
      <c r="Z358" s="28">
        <f t="shared" si="41"/>
        <v>0</v>
      </c>
      <c r="AB358" s="28">
        <f t="shared" si="42"/>
        <v>0</v>
      </c>
      <c r="AC358" s="28">
        <f t="shared" si="43"/>
        <v>0</v>
      </c>
      <c r="AD358" s="28">
        <f t="shared" si="44"/>
        <v>0</v>
      </c>
      <c r="AE358" s="28">
        <f t="shared" si="45"/>
        <v>0</v>
      </c>
      <c r="AF358" s="28">
        <f t="shared" si="46"/>
        <v>0</v>
      </c>
      <c r="AG358" s="28">
        <f t="shared" si="47"/>
        <v>0</v>
      </c>
      <c r="AH358" s="28">
        <f t="shared" si="48"/>
        <v>0</v>
      </c>
      <c r="AI358" s="56" t="s">
        <v>72</v>
      </c>
      <c r="AJ358" s="60">
        <f t="shared" si="49"/>
        <v>0</v>
      </c>
      <c r="AK358" s="60">
        <f t="shared" si="50"/>
        <v>0</v>
      </c>
      <c r="AL358" s="60">
        <f t="shared" si="51"/>
        <v>0</v>
      </c>
      <c r="AN358" s="28">
        <v>21</v>
      </c>
      <c r="AO358" s="28">
        <f t="shared" si="60"/>
        <v>0</v>
      </c>
      <c r="AP358" s="28">
        <f t="shared" si="61"/>
        <v>0</v>
      </c>
      <c r="AQ358" s="57" t="s">
        <v>88</v>
      </c>
      <c r="AV358" s="28">
        <f t="shared" si="52"/>
        <v>0</v>
      </c>
      <c r="AW358" s="28">
        <f t="shared" si="53"/>
        <v>0</v>
      </c>
      <c r="AX358" s="28">
        <f t="shared" si="54"/>
        <v>0</v>
      </c>
      <c r="AY358" s="59" t="s">
        <v>940</v>
      </c>
      <c r="AZ358" s="59" t="s">
        <v>961</v>
      </c>
      <c r="BA358" s="56" t="s">
        <v>966</v>
      </c>
      <c r="BC358" s="28">
        <f t="shared" si="55"/>
        <v>0</v>
      </c>
      <c r="BD358" s="28">
        <f t="shared" si="56"/>
        <v>0</v>
      </c>
      <c r="BE358" s="28">
        <v>0</v>
      </c>
      <c r="BF358" s="28">
        <f>358</f>
        <v>358</v>
      </c>
      <c r="BH358" s="60">
        <f t="shared" si="57"/>
        <v>0</v>
      </c>
      <c r="BI358" s="60">
        <f t="shared" si="58"/>
        <v>0</v>
      </c>
      <c r="BJ358" s="60">
        <f t="shared" si="59"/>
        <v>0</v>
      </c>
      <c r="BK358" s="60" t="s">
        <v>971</v>
      </c>
      <c r="BL358" s="28">
        <v>766</v>
      </c>
    </row>
    <row r="359" spans="1:64" x14ac:dyDescent="0.25">
      <c r="A359" s="34" t="s">
        <v>204</v>
      </c>
      <c r="B359" s="41" t="s">
        <v>398</v>
      </c>
      <c r="C359" s="146" t="s">
        <v>769</v>
      </c>
      <c r="D359" s="147"/>
      <c r="E359" s="147"/>
      <c r="F359" s="147"/>
      <c r="G359" s="147"/>
      <c r="H359" s="41" t="s">
        <v>897</v>
      </c>
      <c r="I359" s="76">
        <f>'Stavební rozpočet'!I359</f>
        <v>2</v>
      </c>
      <c r="J359" s="60"/>
      <c r="K359" s="60">
        <f t="shared" si="40"/>
        <v>0</v>
      </c>
      <c r="L359" s="53" t="s">
        <v>906</v>
      </c>
      <c r="M359" s="17"/>
      <c r="Z359" s="28">
        <f t="shared" si="41"/>
        <v>0</v>
      </c>
      <c r="AB359" s="28">
        <f t="shared" si="42"/>
        <v>0</v>
      </c>
      <c r="AC359" s="28">
        <f t="shared" si="43"/>
        <v>0</v>
      </c>
      <c r="AD359" s="28">
        <f t="shared" si="44"/>
        <v>0</v>
      </c>
      <c r="AE359" s="28">
        <f t="shared" si="45"/>
        <v>0</v>
      </c>
      <c r="AF359" s="28">
        <f t="shared" si="46"/>
        <v>0</v>
      </c>
      <c r="AG359" s="28">
        <f t="shared" si="47"/>
        <v>0</v>
      </c>
      <c r="AH359" s="28">
        <f t="shared" si="48"/>
        <v>0</v>
      </c>
      <c r="AI359" s="56" t="s">
        <v>72</v>
      </c>
      <c r="AJ359" s="60">
        <f t="shared" si="49"/>
        <v>0</v>
      </c>
      <c r="AK359" s="60">
        <f t="shared" si="50"/>
        <v>0</v>
      </c>
      <c r="AL359" s="60">
        <f t="shared" si="51"/>
        <v>0</v>
      </c>
      <c r="AN359" s="28">
        <v>21</v>
      </c>
      <c r="AO359" s="28">
        <f t="shared" si="60"/>
        <v>0</v>
      </c>
      <c r="AP359" s="28">
        <f t="shared" si="61"/>
        <v>0</v>
      </c>
      <c r="AQ359" s="57" t="s">
        <v>88</v>
      </c>
      <c r="AV359" s="28">
        <f t="shared" si="52"/>
        <v>0</v>
      </c>
      <c r="AW359" s="28">
        <f t="shared" si="53"/>
        <v>0</v>
      </c>
      <c r="AX359" s="28">
        <f t="shared" si="54"/>
        <v>0</v>
      </c>
      <c r="AY359" s="59" t="s">
        <v>940</v>
      </c>
      <c r="AZ359" s="59" t="s">
        <v>961</v>
      </c>
      <c r="BA359" s="56" t="s">
        <v>966</v>
      </c>
      <c r="BC359" s="28">
        <f t="shared" si="55"/>
        <v>0</v>
      </c>
      <c r="BD359" s="28">
        <f t="shared" si="56"/>
        <v>0</v>
      </c>
      <c r="BE359" s="28">
        <v>0</v>
      </c>
      <c r="BF359" s="28">
        <f>359</f>
        <v>359</v>
      </c>
      <c r="BH359" s="60">
        <f t="shared" si="57"/>
        <v>0</v>
      </c>
      <c r="BI359" s="60">
        <f t="shared" si="58"/>
        <v>0</v>
      </c>
      <c r="BJ359" s="60">
        <f t="shared" si="59"/>
        <v>0</v>
      </c>
      <c r="BK359" s="60" t="s">
        <v>971</v>
      </c>
      <c r="BL359" s="28">
        <v>766</v>
      </c>
    </row>
    <row r="360" spans="1:64" x14ac:dyDescent="0.25">
      <c r="A360" s="34" t="s">
        <v>205</v>
      </c>
      <c r="B360" s="41" t="s">
        <v>399</v>
      </c>
      <c r="C360" s="146" t="s">
        <v>770</v>
      </c>
      <c r="D360" s="147"/>
      <c r="E360" s="147"/>
      <c r="F360" s="147"/>
      <c r="G360" s="147"/>
      <c r="H360" s="41" t="s">
        <v>897</v>
      </c>
      <c r="I360" s="76">
        <f>'Stavební rozpočet'!I360</f>
        <v>2</v>
      </c>
      <c r="J360" s="60"/>
      <c r="K360" s="60">
        <f t="shared" si="40"/>
        <v>0</v>
      </c>
      <c r="L360" s="53" t="s">
        <v>906</v>
      </c>
      <c r="M360" s="17"/>
      <c r="Z360" s="28">
        <f t="shared" si="41"/>
        <v>0</v>
      </c>
      <c r="AB360" s="28">
        <f t="shared" si="42"/>
        <v>0</v>
      </c>
      <c r="AC360" s="28">
        <f t="shared" si="43"/>
        <v>0</v>
      </c>
      <c r="AD360" s="28">
        <f t="shared" si="44"/>
        <v>0</v>
      </c>
      <c r="AE360" s="28">
        <f t="shared" si="45"/>
        <v>0</v>
      </c>
      <c r="AF360" s="28">
        <f t="shared" si="46"/>
        <v>0</v>
      </c>
      <c r="AG360" s="28">
        <f t="shared" si="47"/>
        <v>0</v>
      </c>
      <c r="AH360" s="28">
        <f t="shared" si="48"/>
        <v>0</v>
      </c>
      <c r="AI360" s="56" t="s">
        <v>72</v>
      </c>
      <c r="AJ360" s="60">
        <f t="shared" si="49"/>
        <v>0</v>
      </c>
      <c r="AK360" s="60">
        <f t="shared" si="50"/>
        <v>0</v>
      </c>
      <c r="AL360" s="60">
        <f t="shared" si="51"/>
        <v>0</v>
      </c>
      <c r="AN360" s="28">
        <v>21</v>
      </c>
      <c r="AO360" s="28">
        <f t="shared" si="60"/>
        <v>0</v>
      </c>
      <c r="AP360" s="28">
        <f t="shared" si="61"/>
        <v>0</v>
      </c>
      <c r="AQ360" s="57" t="s">
        <v>88</v>
      </c>
      <c r="AV360" s="28">
        <f t="shared" si="52"/>
        <v>0</v>
      </c>
      <c r="AW360" s="28">
        <f t="shared" si="53"/>
        <v>0</v>
      </c>
      <c r="AX360" s="28">
        <f t="shared" si="54"/>
        <v>0</v>
      </c>
      <c r="AY360" s="59" t="s">
        <v>940</v>
      </c>
      <c r="AZ360" s="59" t="s">
        <v>961</v>
      </c>
      <c r="BA360" s="56" t="s">
        <v>966</v>
      </c>
      <c r="BC360" s="28">
        <f t="shared" si="55"/>
        <v>0</v>
      </c>
      <c r="BD360" s="28">
        <f t="shared" si="56"/>
        <v>0</v>
      </c>
      <c r="BE360" s="28">
        <v>0</v>
      </c>
      <c r="BF360" s="28">
        <f>360</f>
        <v>360</v>
      </c>
      <c r="BH360" s="60">
        <f t="shared" si="57"/>
        <v>0</v>
      </c>
      <c r="BI360" s="60">
        <f t="shared" si="58"/>
        <v>0</v>
      </c>
      <c r="BJ360" s="60">
        <f t="shared" si="59"/>
        <v>0</v>
      </c>
      <c r="BK360" s="60" t="s">
        <v>971</v>
      </c>
      <c r="BL360" s="28">
        <v>766</v>
      </c>
    </row>
    <row r="361" spans="1:64" x14ac:dyDescent="0.25">
      <c r="A361" s="34" t="s">
        <v>206</v>
      </c>
      <c r="B361" s="41" t="s">
        <v>400</v>
      </c>
      <c r="C361" s="146" t="s">
        <v>771</v>
      </c>
      <c r="D361" s="147"/>
      <c r="E361" s="147"/>
      <c r="F361" s="147"/>
      <c r="G361" s="147"/>
      <c r="H361" s="41" t="s">
        <v>897</v>
      </c>
      <c r="I361" s="76">
        <f>'Stavební rozpočet'!I361</f>
        <v>1</v>
      </c>
      <c r="J361" s="60"/>
      <c r="K361" s="60">
        <f t="shared" si="40"/>
        <v>0</v>
      </c>
      <c r="L361" s="53" t="s">
        <v>906</v>
      </c>
      <c r="M361" s="17"/>
      <c r="Z361" s="28">
        <f t="shared" si="41"/>
        <v>0</v>
      </c>
      <c r="AB361" s="28">
        <f t="shared" si="42"/>
        <v>0</v>
      </c>
      <c r="AC361" s="28">
        <f t="shared" si="43"/>
        <v>0</v>
      </c>
      <c r="AD361" s="28">
        <f t="shared" si="44"/>
        <v>0</v>
      </c>
      <c r="AE361" s="28">
        <f t="shared" si="45"/>
        <v>0</v>
      </c>
      <c r="AF361" s="28">
        <f t="shared" si="46"/>
        <v>0</v>
      </c>
      <c r="AG361" s="28">
        <f t="shared" si="47"/>
        <v>0</v>
      </c>
      <c r="AH361" s="28">
        <f t="shared" si="48"/>
        <v>0</v>
      </c>
      <c r="AI361" s="56" t="s">
        <v>72</v>
      </c>
      <c r="AJ361" s="60">
        <f t="shared" si="49"/>
        <v>0</v>
      </c>
      <c r="AK361" s="60">
        <f t="shared" si="50"/>
        <v>0</v>
      </c>
      <c r="AL361" s="60">
        <f t="shared" si="51"/>
        <v>0</v>
      </c>
      <c r="AN361" s="28">
        <v>21</v>
      </c>
      <c r="AO361" s="28">
        <f t="shared" si="60"/>
        <v>0</v>
      </c>
      <c r="AP361" s="28">
        <f t="shared" si="61"/>
        <v>0</v>
      </c>
      <c r="AQ361" s="57" t="s">
        <v>88</v>
      </c>
      <c r="AV361" s="28">
        <f t="shared" si="52"/>
        <v>0</v>
      </c>
      <c r="AW361" s="28">
        <f t="shared" si="53"/>
        <v>0</v>
      </c>
      <c r="AX361" s="28">
        <f t="shared" si="54"/>
        <v>0</v>
      </c>
      <c r="AY361" s="59" t="s">
        <v>940</v>
      </c>
      <c r="AZ361" s="59" t="s">
        <v>961</v>
      </c>
      <c r="BA361" s="56" t="s">
        <v>966</v>
      </c>
      <c r="BC361" s="28">
        <f t="shared" si="55"/>
        <v>0</v>
      </c>
      <c r="BD361" s="28">
        <f t="shared" si="56"/>
        <v>0</v>
      </c>
      <c r="BE361" s="28">
        <v>0</v>
      </c>
      <c r="BF361" s="28">
        <f>361</f>
        <v>361</v>
      </c>
      <c r="BH361" s="60">
        <f t="shared" si="57"/>
        <v>0</v>
      </c>
      <c r="BI361" s="60">
        <f t="shared" si="58"/>
        <v>0</v>
      </c>
      <c r="BJ361" s="60">
        <f t="shared" si="59"/>
        <v>0</v>
      </c>
      <c r="BK361" s="60" t="s">
        <v>971</v>
      </c>
      <c r="BL361" s="28">
        <v>766</v>
      </c>
    </row>
    <row r="362" spans="1:64" x14ac:dyDescent="0.25">
      <c r="A362" s="34" t="s">
        <v>207</v>
      </c>
      <c r="B362" s="41" t="s">
        <v>401</v>
      </c>
      <c r="C362" s="146" t="s">
        <v>767</v>
      </c>
      <c r="D362" s="147"/>
      <c r="E362" s="147"/>
      <c r="F362" s="147"/>
      <c r="G362" s="147"/>
      <c r="H362" s="41" t="s">
        <v>897</v>
      </c>
      <c r="I362" s="76">
        <f>'Stavební rozpočet'!I362</f>
        <v>3</v>
      </c>
      <c r="J362" s="60"/>
      <c r="K362" s="60">
        <f t="shared" si="40"/>
        <v>0</v>
      </c>
      <c r="L362" s="53" t="s">
        <v>906</v>
      </c>
      <c r="M362" s="17"/>
      <c r="Z362" s="28">
        <f t="shared" si="41"/>
        <v>0</v>
      </c>
      <c r="AB362" s="28">
        <f t="shared" si="42"/>
        <v>0</v>
      </c>
      <c r="AC362" s="28">
        <f t="shared" si="43"/>
        <v>0</v>
      </c>
      <c r="AD362" s="28">
        <f t="shared" si="44"/>
        <v>0</v>
      </c>
      <c r="AE362" s="28">
        <f t="shared" si="45"/>
        <v>0</v>
      </c>
      <c r="AF362" s="28">
        <f t="shared" si="46"/>
        <v>0</v>
      </c>
      <c r="AG362" s="28">
        <f t="shared" si="47"/>
        <v>0</v>
      </c>
      <c r="AH362" s="28">
        <f t="shared" si="48"/>
        <v>0</v>
      </c>
      <c r="AI362" s="56" t="s">
        <v>72</v>
      </c>
      <c r="AJ362" s="60">
        <f t="shared" si="49"/>
        <v>0</v>
      </c>
      <c r="AK362" s="60">
        <f t="shared" si="50"/>
        <v>0</v>
      </c>
      <c r="AL362" s="60">
        <f t="shared" si="51"/>
        <v>0</v>
      </c>
      <c r="AN362" s="28">
        <v>21</v>
      </c>
      <c r="AO362" s="28">
        <f t="shared" si="60"/>
        <v>0</v>
      </c>
      <c r="AP362" s="28">
        <f t="shared" si="61"/>
        <v>0</v>
      </c>
      <c r="AQ362" s="57" t="s">
        <v>88</v>
      </c>
      <c r="AV362" s="28">
        <f t="shared" si="52"/>
        <v>0</v>
      </c>
      <c r="AW362" s="28">
        <f t="shared" si="53"/>
        <v>0</v>
      </c>
      <c r="AX362" s="28">
        <f t="shared" si="54"/>
        <v>0</v>
      </c>
      <c r="AY362" s="59" t="s">
        <v>940</v>
      </c>
      <c r="AZ362" s="59" t="s">
        <v>961</v>
      </c>
      <c r="BA362" s="56" t="s">
        <v>966</v>
      </c>
      <c r="BC362" s="28">
        <f t="shared" si="55"/>
        <v>0</v>
      </c>
      <c r="BD362" s="28">
        <f t="shared" si="56"/>
        <v>0</v>
      </c>
      <c r="BE362" s="28">
        <v>0</v>
      </c>
      <c r="BF362" s="28">
        <f>362</f>
        <v>362</v>
      </c>
      <c r="BH362" s="60">
        <f t="shared" si="57"/>
        <v>0</v>
      </c>
      <c r="BI362" s="60">
        <f t="shared" si="58"/>
        <v>0</v>
      </c>
      <c r="BJ362" s="60">
        <f t="shared" si="59"/>
        <v>0</v>
      </c>
      <c r="BK362" s="60" t="s">
        <v>971</v>
      </c>
      <c r="BL362" s="28">
        <v>766</v>
      </c>
    </row>
    <row r="363" spans="1:64" x14ac:dyDescent="0.25">
      <c r="A363" s="34" t="s">
        <v>208</v>
      </c>
      <c r="B363" s="41" t="s">
        <v>402</v>
      </c>
      <c r="C363" s="146" t="s">
        <v>770</v>
      </c>
      <c r="D363" s="147"/>
      <c r="E363" s="147"/>
      <c r="F363" s="147"/>
      <c r="G363" s="147"/>
      <c r="H363" s="41" t="s">
        <v>897</v>
      </c>
      <c r="I363" s="76">
        <f>'Stavební rozpočet'!I363</f>
        <v>1</v>
      </c>
      <c r="J363" s="60"/>
      <c r="K363" s="60">
        <f t="shared" si="40"/>
        <v>0</v>
      </c>
      <c r="L363" s="53" t="s">
        <v>906</v>
      </c>
      <c r="M363" s="17"/>
      <c r="Z363" s="28">
        <f t="shared" si="41"/>
        <v>0</v>
      </c>
      <c r="AB363" s="28">
        <f t="shared" si="42"/>
        <v>0</v>
      </c>
      <c r="AC363" s="28">
        <f t="shared" si="43"/>
        <v>0</v>
      </c>
      <c r="AD363" s="28">
        <f t="shared" si="44"/>
        <v>0</v>
      </c>
      <c r="AE363" s="28">
        <f t="shared" si="45"/>
        <v>0</v>
      </c>
      <c r="AF363" s="28">
        <f t="shared" si="46"/>
        <v>0</v>
      </c>
      <c r="AG363" s="28">
        <f t="shared" si="47"/>
        <v>0</v>
      </c>
      <c r="AH363" s="28">
        <f t="shared" si="48"/>
        <v>0</v>
      </c>
      <c r="AI363" s="56" t="s">
        <v>72</v>
      </c>
      <c r="AJ363" s="60">
        <f t="shared" si="49"/>
        <v>0</v>
      </c>
      <c r="AK363" s="60">
        <f t="shared" si="50"/>
        <v>0</v>
      </c>
      <c r="AL363" s="60">
        <f t="shared" si="51"/>
        <v>0</v>
      </c>
      <c r="AN363" s="28">
        <v>21</v>
      </c>
      <c r="AO363" s="28">
        <f t="shared" si="60"/>
        <v>0</v>
      </c>
      <c r="AP363" s="28">
        <f t="shared" si="61"/>
        <v>0</v>
      </c>
      <c r="AQ363" s="57" t="s">
        <v>88</v>
      </c>
      <c r="AV363" s="28">
        <f t="shared" si="52"/>
        <v>0</v>
      </c>
      <c r="AW363" s="28">
        <f t="shared" si="53"/>
        <v>0</v>
      </c>
      <c r="AX363" s="28">
        <f t="shared" si="54"/>
        <v>0</v>
      </c>
      <c r="AY363" s="59" t="s">
        <v>940</v>
      </c>
      <c r="AZ363" s="59" t="s">
        <v>961</v>
      </c>
      <c r="BA363" s="56" t="s">
        <v>966</v>
      </c>
      <c r="BC363" s="28">
        <f t="shared" si="55"/>
        <v>0</v>
      </c>
      <c r="BD363" s="28">
        <f t="shared" si="56"/>
        <v>0</v>
      </c>
      <c r="BE363" s="28">
        <v>0</v>
      </c>
      <c r="BF363" s="28">
        <f>363</f>
        <v>363</v>
      </c>
      <c r="BH363" s="60">
        <f t="shared" si="57"/>
        <v>0</v>
      </c>
      <c r="BI363" s="60">
        <f t="shared" si="58"/>
        <v>0</v>
      </c>
      <c r="BJ363" s="60">
        <f t="shared" si="59"/>
        <v>0</v>
      </c>
      <c r="BK363" s="60" t="s">
        <v>971</v>
      </c>
      <c r="BL363" s="28">
        <v>766</v>
      </c>
    </row>
    <row r="364" spans="1:64" x14ac:dyDescent="0.25">
      <c r="A364" s="34" t="s">
        <v>209</v>
      </c>
      <c r="B364" s="41" t="s">
        <v>403</v>
      </c>
      <c r="C364" s="146" t="s">
        <v>772</v>
      </c>
      <c r="D364" s="147"/>
      <c r="E364" s="147"/>
      <c r="F364" s="147"/>
      <c r="G364" s="147"/>
      <c r="H364" s="41" t="s">
        <v>897</v>
      </c>
      <c r="I364" s="76">
        <f>'Stavební rozpočet'!I364</f>
        <v>1</v>
      </c>
      <c r="J364" s="60"/>
      <c r="K364" s="60">
        <f t="shared" si="40"/>
        <v>0</v>
      </c>
      <c r="L364" s="53" t="s">
        <v>906</v>
      </c>
      <c r="M364" s="17"/>
      <c r="Z364" s="28">
        <f t="shared" si="41"/>
        <v>0</v>
      </c>
      <c r="AB364" s="28">
        <f t="shared" si="42"/>
        <v>0</v>
      </c>
      <c r="AC364" s="28">
        <f t="shared" si="43"/>
        <v>0</v>
      </c>
      <c r="AD364" s="28">
        <f t="shared" si="44"/>
        <v>0</v>
      </c>
      <c r="AE364" s="28">
        <f t="shared" si="45"/>
        <v>0</v>
      </c>
      <c r="AF364" s="28">
        <f t="shared" si="46"/>
        <v>0</v>
      </c>
      <c r="AG364" s="28">
        <f t="shared" si="47"/>
        <v>0</v>
      </c>
      <c r="AH364" s="28">
        <f t="shared" si="48"/>
        <v>0</v>
      </c>
      <c r="AI364" s="56" t="s">
        <v>72</v>
      </c>
      <c r="AJ364" s="60">
        <f t="shared" si="49"/>
        <v>0</v>
      </c>
      <c r="AK364" s="60">
        <f t="shared" si="50"/>
        <v>0</v>
      </c>
      <c r="AL364" s="60">
        <f t="shared" si="51"/>
        <v>0</v>
      </c>
      <c r="AN364" s="28">
        <v>21</v>
      </c>
      <c r="AO364" s="28">
        <f t="shared" si="60"/>
        <v>0</v>
      </c>
      <c r="AP364" s="28">
        <f t="shared" si="61"/>
        <v>0</v>
      </c>
      <c r="AQ364" s="57" t="s">
        <v>88</v>
      </c>
      <c r="AV364" s="28">
        <f t="shared" si="52"/>
        <v>0</v>
      </c>
      <c r="AW364" s="28">
        <f t="shared" si="53"/>
        <v>0</v>
      </c>
      <c r="AX364" s="28">
        <f t="shared" si="54"/>
        <v>0</v>
      </c>
      <c r="AY364" s="59" t="s">
        <v>940</v>
      </c>
      <c r="AZ364" s="59" t="s">
        <v>961</v>
      </c>
      <c r="BA364" s="56" t="s">
        <v>966</v>
      </c>
      <c r="BC364" s="28">
        <f t="shared" si="55"/>
        <v>0</v>
      </c>
      <c r="BD364" s="28">
        <f t="shared" si="56"/>
        <v>0</v>
      </c>
      <c r="BE364" s="28">
        <v>0</v>
      </c>
      <c r="BF364" s="28">
        <f>364</f>
        <v>364</v>
      </c>
      <c r="BH364" s="60">
        <f t="shared" si="57"/>
        <v>0</v>
      </c>
      <c r="BI364" s="60">
        <f t="shared" si="58"/>
        <v>0</v>
      </c>
      <c r="BJ364" s="60">
        <f t="shared" si="59"/>
        <v>0</v>
      </c>
      <c r="BK364" s="60" t="s">
        <v>971</v>
      </c>
      <c r="BL364" s="28">
        <v>766</v>
      </c>
    </row>
    <row r="365" spans="1:64" x14ac:dyDescent="0.25">
      <c r="A365" s="34" t="s">
        <v>210</v>
      </c>
      <c r="B365" s="41" t="s">
        <v>404</v>
      </c>
      <c r="C365" s="146" t="s">
        <v>773</v>
      </c>
      <c r="D365" s="147"/>
      <c r="E365" s="147"/>
      <c r="F365" s="147"/>
      <c r="G365" s="147"/>
      <c r="H365" s="41" t="s">
        <v>897</v>
      </c>
      <c r="I365" s="76">
        <f>'Stavební rozpočet'!I365</f>
        <v>1</v>
      </c>
      <c r="J365" s="60"/>
      <c r="K365" s="60">
        <f t="shared" si="40"/>
        <v>0</v>
      </c>
      <c r="L365" s="53" t="s">
        <v>906</v>
      </c>
      <c r="M365" s="17"/>
      <c r="Z365" s="28">
        <f t="shared" si="41"/>
        <v>0</v>
      </c>
      <c r="AB365" s="28">
        <f t="shared" si="42"/>
        <v>0</v>
      </c>
      <c r="AC365" s="28">
        <f t="shared" si="43"/>
        <v>0</v>
      </c>
      <c r="AD365" s="28">
        <f t="shared" si="44"/>
        <v>0</v>
      </c>
      <c r="AE365" s="28">
        <f t="shared" si="45"/>
        <v>0</v>
      </c>
      <c r="AF365" s="28">
        <f t="shared" si="46"/>
        <v>0</v>
      </c>
      <c r="AG365" s="28">
        <f t="shared" si="47"/>
        <v>0</v>
      </c>
      <c r="AH365" s="28">
        <f t="shared" si="48"/>
        <v>0</v>
      </c>
      <c r="AI365" s="56" t="s">
        <v>72</v>
      </c>
      <c r="AJ365" s="60">
        <f t="shared" si="49"/>
        <v>0</v>
      </c>
      <c r="AK365" s="60">
        <f t="shared" si="50"/>
        <v>0</v>
      </c>
      <c r="AL365" s="60">
        <f t="shared" si="51"/>
        <v>0</v>
      </c>
      <c r="AN365" s="28">
        <v>21</v>
      </c>
      <c r="AO365" s="28">
        <f t="shared" si="60"/>
        <v>0</v>
      </c>
      <c r="AP365" s="28">
        <f t="shared" si="61"/>
        <v>0</v>
      </c>
      <c r="AQ365" s="57" t="s">
        <v>88</v>
      </c>
      <c r="AV365" s="28">
        <f t="shared" si="52"/>
        <v>0</v>
      </c>
      <c r="AW365" s="28">
        <f t="shared" si="53"/>
        <v>0</v>
      </c>
      <c r="AX365" s="28">
        <f t="shared" si="54"/>
        <v>0</v>
      </c>
      <c r="AY365" s="59" t="s">
        <v>940</v>
      </c>
      <c r="AZ365" s="59" t="s">
        <v>961</v>
      </c>
      <c r="BA365" s="56" t="s">
        <v>966</v>
      </c>
      <c r="BC365" s="28">
        <f t="shared" si="55"/>
        <v>0</v>
      </c>
      <c r="BD365" s="28">
        <f t="shared" si="56"/>
        <v>0</v>
      </c>
      <c r="BE365" s="28">
        <v>0</v>
      </c>
      <c r="BF365" s="28">
        <f>365</f>
        <v>365</v>
      </c>
      <c r="BH365" s="60">
        <f t="shared" si="57"/>
        <v>0</v>
      </c>
      <c r="BI365" s="60">
        <f t="shared" si="58"/>
        <v>0</v>
      </c>
      <c r="BJ365" s="60">
        <f t="shared" si="59"/>
        <v>0</v>
      </c>
      <c r="BK365" s="60" t="s">
        <v>971</v>
      </c>
      <c r="BL365" s="28">
        <v>766</v>
      </c>
    </row>
    <row r="366" spans="1:64" x14ac:dyDescent="0.25">
      <c r="A366" s="34" t="s">
        <v>211</v>
      </c>
      <c r="B366" s="41" t="s">
        <v>405</v>
      </c>
      <c r="C366" s="146" t="s">
        <v>774</v>
      </c>
      <c r="D366" s="147"/>
      <c r="E366" s="147"/>
      <c r="F366" s="147"/>
      <c r="G366" s="147"/>
      <c r="H366" s="41" t="s">
        <v>897</v>
      </c>
      <c r="I366" s="76">
        <f>'Stavební rozpočet'!I366</f>
        <v>2</v>
      </c>
      <c r="J366" s="60"/>
      <c r="K366" s="60">
        <f t="shared" si="40"/>
        <v>0</v>
      </c>
      <c r="L366" s="53" t="s">
        <v>906</v>
      </c>
      <c r="M366" s="17"/>
      <c r="Z366" s="28">
        <f t="shared" si="41"/>
        <v>0</v>
      </c>
      <c r="AB366" s="28">
        <f t="shared" si="42"/>
        <v>0</v>
      </c>
      <c r="AC366" s="28">
        <f t="shared" si="43"/>
        <v>0</v>
      </c>
      <c r="AD366" s="28">
        <f t="shared" si="44"/>
        <v>0</v>
      </c>
      <c r="AE366" s="28">
        <f t="shared" si="45"/>
        <v>0</v>
      </c>
      <c r="AF366" s="28">
        <f t="shared" si="46"/>
        <v>0</v>
      </c>
      <c r="AG366" s="28">
        <f t="shared" si="47"/>
        <v>0</v>
      </c>
      <c r="AH366" s="28">
        <f t="shared" si="48"/>
        <v>0</v>
      </c>
      <c r="AI366" s="56" t="s">
        <v>72</v>
      </c>
      <c r="AJ366" s="60">
        <f t="shared" si="49"/>
        <v>0</v>
      </c>
      <c r="AK366" s="60">
        <f t="shared" si="50"/>
        <v>0</v>
      </c>
      <c r="AL366" s="60">
        <f t="shared" si="51"/>
        <v>0</v>
      </c>
      <c r="AN366" s="28">
        <v>21</v>
      </c>
      <c r="AO366" s="28">
        <f t="shared" si="60"/>
        <v>0</v>
      </c>
      <c r="AP366" s="28">
        <f t="shared" si="61"/>
        <v>0</v>
      </c>
      <c r="AQ366" s="57" t="s">
        <v>88</v>
      </c>
      <c r="AV366" s="28">
        <f t="shared" si="52"/>
        <v>0</v>
      </c>
      <c r="AW366" s="28">
        <f t="shared" si="53"/>
        <v>0</v>
      </c>
      <c r="AX366" s="28">
        <f t="shared" si="54"/>
        <v>0</v>
      </c>
      <c r="AY366" s="59" t="s">
        <v>940</v>
      </c>
      <c r="AZ366" s="59" t="s">
        <v>961</v>
      </c>
      <c r="BA366" s="56" t="s">
        <v>966</v>
      </c>
      <c r="BC366" s="28">
        <f t="shared" si="55"/>
        <v>0</v>
      </c>
      <c r="BD366" s="28">
        <f t="shared" si="56"/>
        <v>0</v>
      </c>
      <c r="BE366" s="28">
        <v>0</v>
      </c>
      <c r="BF366" s="28">
        <f>366</f>
        <v>366</v>
      </c>
      <c r="BH366" s="60">
        <f t="shared" si="57"/>
        <v>0</v>
      </c>
      <c r="BI366" s="60">
        <f t="shared" si="58"/>
        <v>0</v>
      </c>
      <c r="BJ366" s="60">
        <f t="shared" si="59"/>
        <v>0</v>
      </c>
      <c r="BK366" s="60" t="s">
        <v>971</v>
      </c>
      <c r="BL366" s="28">
        <v>766</v>
      </c>
    </row>
    <row r="367" spans="1:64" x14ac:dyDescent="0.25">
      <c r="A367" s="34" t="s">
        <v>212</v>
      </c>
      <c r="B367" s="41" t="s">
        <v>406</v>
      </c>
      <c r="C367" s="146" t="s">
        <v>775</v>
      </c>
      <c r="D367" s="147"/>
      <c r="E367" s="147"/>
      <c r="F367" s="147"/>
      <c r="G367" s="147"/>
      <c r="H367" s="41" t="s">
        <v>897</v>
      </c>
      <c r="I367" s="76">
        <f>'Stavební rozpočet'!I367</f>
        <v>3</v>
      </c>
      <c r="J367" s="60"/>
      <c r="K367" s="60">
        <f t="shared" si="40"/>
        <v>0</v>
      </c>
      <c r="L367" s="53" t="s">
        <v>906</v>
      </c>
      <c r="M367" s="17"/>
      <c r="Z367" s="28">
        <f t="shared" si="41"/>
        <v>0</v>
      </c>
      <c r="AB367" s="28">
        <f t="shared" si="42"/>
        <v>0</v>
      </c>
      <c r="AC367" s="28">
        <f t="shared" si="43"/>
        <v>0</v>
      </c>
      <c r="AD367" s="28">
        <f t="shared" si="44"/>
        <v>0</v>
      </c>
      <c r="AE367" s="28">
        <f t="shared" si="45"/>
        <v>0</v>
      </c>
      <c r="AF367" s="28">
        <f t="shared" si="46"/>
        <v>0</v>
      </c>
      <c r="AG367" s="28">
        <f t="shared" si="47"/>
        <v>0</v>
      </c>
      <c r="AH367" s="28">
        <f t="shared" si="48"/>
        <v>0</v>
      </c>
      <c r="AI367" s="56" t="s">
        <v>72</v>
      </c>
      <c r="AJ367" s="60">
        <f t="shared" si="49"/>
        <v>0</v>
      </c>
      <c r="AK367" s="60">
        <f t="shared" si="50"/>
        <v>0</v>
      </c>
      <c r="AL367" s="60">
        <f t="shared" si="51"/>
        <v>0</v>
      </c>
      <c r="AN367" s="28">
        <v>21</v>
      </c>
      <c r="AO367" s="28">
        <f t="shared" si="60"/>
        <v>0</v>
      </c>
      <c r="AP367" s="28">
        <f t="shared" si="61"/>
        <v>0</v>
      </c>
      <c r="AQ367" s="57" t="s">
        <v>88</v>
      </c>
      <c r="AV367" s="28">
        <f t="shared" si="52"/>
        <v>0</v>
      </c>
      <c r="AW367" s="28">
        <f t="shared" si="53"/>
        <v>0</v>
      </c>
      <c r="AX367" s="28">
        <f t="shared" si="54"/>
        <v>0</v>
      </c>
      <c r="AY367" s="59" t="s">
        <v>940</v>
      </c>
      <c r="AZ367" s="59" t="s">
        <v>961</v>
      </c>
      <c r="BA367" s="56" t="s">
        <v>966</v>
      </c>
      <c r="BC367" s="28">
        <f t="shared" si="55"/>
        <v>0</v>
      </c>
      <c r="BD367" s="28">
        <f t="shared" si="56"/>
        <v>0</v>
      </c>
      <c r="BE367" s="28">
        <v>0</v>
      </c>
      <c r="BF367" s="28">
        <f>367</f>
        <v>367</v>
      </c>
      <c r="BH367" s="60">
        <f t="shared" si="57"/>
        <v>0</v>
      </c>
      <c r="BI367" s="60">
        <f t="shared" si="58"/>
        <v>0</v>
      </c>
      <c r="BJ367" s="60">
        <f t="shared" si="59"/>
        <v>0</v>
      </c>
      <c r="BK367" s="60" t="s">
        <v>971</v>
      </c>
      <c r="BL367" s="28">
        <v>766</v>
      </c>
    </row>
    <row r="368" spans="1:64" x14ac:dyDescent="0.25">
      <c r="A368" s="34" t="s">
        <v>213</v>
      </c>
      <c r="B368" s="41" t="s">
        <v>407</v>
      </c>
      <c r="C368" s="146" t="s">
        <v>776</v>
      </c>
      <c r="D368" s="147"/>
      <c r="E368" s="147"/>
      <c r="F368" s="147"/>
      <c r="G368" s="147"/>
      <c r="H368" s="41" t="s">
        <v>897</v>
      </c>
      <c r="I368" s="76">
        <f>'Stavební rozpočet'!I368</f>
        <v>1</v>
      </c>
      <c r="J368" s="60"/>
      <c r="K368" s="60">
        <f t="shared" si="40"/>
        <v>0</v>
      </c>
      <c r="L368" s="53" t="s">
        <v>906</v>
      </c>
      <c r="M368" s="17"/>
      <c r="Z368" s="28">
        <f t="shared" si="41"/>
        <v>0</v>
      </c>
      <c r="AB368" s="28">
        <f t="shared" si="42"/>
        <v>0</v>
      </c>
      <c r="AC368" s="28">
        <f t="shared" si="43"/>
        <v>0</v>
      </c>
      <c r="AD368" s="28">
        <f t="shared" si="44"/>
        <v>0</v>
      </c>
      <c r="AE368" s="28">
        <f t="shared" si="45"/>
        <v>0</v>
      </c>
      <c r="AF368" s="28">
        <f t="shared" si="46"/>
        <v>0</v>
      </c>
      <c r="AG368" s="28">
        <f t="shared" si="47"/>
        <v>0</v>
      </c>
      <c r="AH368" s="28">
        <f t="shared" si="48"/>
        <v>0</v>
      </c>
      <c r="AI368" s="56" t="s">
        <v>72</v>
      </c>
      <c r="AJ368" s="60">
        <f t="shared" si="49"/>
        <v>0</v>
      </c>
      <c r="AK368" s="60">
        <f t="shared" si="50"/>
        <v>0</v>
      </c>
      <c r="AL368" s="60">
        <f t="shared" si="51"/>
        <v>0</v>
      </c>
      <c r="AN368" s="28">
        <v>21</v>
      </c>
      <c r="AO368" s="28">
        <f t="shared" si="60"/>
        <v>0</v>
      </c>
      <c r="AP368" s="28">
        <f t="shared" si="61"/>
        <v>0</v>
      </c>
      <c r="AQ368" s="57" t="s">
        <v>88</v>
      </c>
      <c r="AV368" s="28">
        <f t="shared" si="52"/>
        <v>0</v>
      </c>
      <c r="AW368" s="28">
        <f t="shared" si="53"/>
        <v>0</v>
      </c>
      <c r="AX368" s="28">
        <f t="shared" si="54"/>
        <v>0</v>
      </c>
      <c r="AY368" s="59" t="s">
        <v>940</v>
      </c>
      <c r="AZ368" s="59" t="s">
        <v>961</v>
      </c>
      <c r="BA368" s="56" t="s">
        <v>966</v>
      </c>
      <c r="BC368" s="28">
        <f t="shared" si="55"/>
        <v>0</v>
      </c>
      <c r="BD368" s="28">
        <f t="shared" si="56"/>
        <v>0</v>
      </c>
      <c r="BE368" s="28">
        <v>0</v>
      </c>
      <c r="BF368" s="28">
        <f>368</f>
        <v>368</v>
      </c>
      <c r="BH368" s="60">
        <f t="shared" si="57"/>
        <v>0</v>
      </c>
      <c r="BI368" s="60">
        <f t="shared" si="58"/>
        <v>0</v>
      </c>
      <c r="BJ368" s="60">
        <f t="shared" si="59"/>
        <v>0</v>
      </c>
      <c r="BK368" s="60" t="s">
        <v>971</v>
      </c>
      <c r="BL368" s="28">
        <v>766</v>
      </c>
    </row>
    <row r="369" spans="1:64" x14ac:dyDescent="0.25">
      <c r="A369" s="34" t="s">
        <v>214</v>
      </c>
      <c r="B369" s="41" t="s">
        <v>408</v>
      </c>
      <c r="C369" s="146" t="s">
        <v>777</v>
      </c>
      <c r="D369" s="147"/>
      <c r="E369" s="147"/>
      <c r="F369" s="147"/>
      <c r="G369" s="147"/>
      <c r="H369" s="41" t="s">
        <v>897</v>
      </c>
      <c r="I369" s="76">
        <f>'Stavební rozpočet'!I369</f>
        <v>1</v>
      </c>
      <c r="J369" s="60"/>
      <c r="K369" s="60">
        <f t="shared" si="40"/>
        <v>0</v>
      </c>
      <c r="L369" s="53" t="s">
        <v>906</v>
      </c>
      <c r="M369" s="17"/>
      <c r="Z369" s="28">
        <f t="shared" si="41"/>
        <v>0</v>
      </c>
      <c r="AB369" s="28">
        <f t="shared" si="42"/>
        <v>0</v>
      </c>
      <c r="AC369" s="28">
        <f t="shared" si="43"/>
        <v>0</v>
      </c>
      <c r="AD369" s="28">
        <f t="shared" si="44"/>
        <v>0</v>
      </c>
      <c r="AE369" s="28">
        <f t="shared" si="45"/>
        <v>0</v>
      </c>
      <c r="AF369" s="28">
        <f t="shared" si="46"/>
        <v>0</v>
      </c>
      <c r="AG369" s="28">
        <f t="shared" si="47"/>
        <v>0</v>
      </c>
      <c r="AH369" s="28">
        <f t="shared" si="48"/>
        <v>0</v>
      </c>
      <c r="AI369" s="56" t="s">
        <v>72</v>
      </c>
      <c r="AJ369" s="60">
        <f t="shared" si="49"/>
        <v>0</v>
      </c>
      <c r="AK369" s="60">
        <f t="shared" si="50"/>
        <v>0</v>
      </c>
      <c r="AL369" s="60">
        <f t="shared" si="51"/>
        <v>0</v>
      </c>
      <c r="AN369" s="28">
        <v>21</v>
      </c>
      <c r="AO369" s="28">
        <f t="shared" si="60"/>
        <v>0</v>
      </c>
      <c r="AP369" s="28">
        <f t="shared" si="61"/>
        <v>0</v>
      </c>
      <c r="AQ369" s="57" t="s">
        <v>88</v>
      </c>
      <c r="AV369" s="28">
        <f t="shared" si="52"/>
        <v>0</v>
      </c>
      <c r="AW369" s="28">
        <f t="shared" si="53"/>
        <v>0</v>
      </c>
      <c r="AX369" s="28">
        <f t="shared" si="54"/>
        <v>0</v>
      </c>
      <c r="AY369" s="59" t="s">
        <v>940</v>
      </c>
      <c r="AZ369" s="59" t="s">
        <v>961</v>
      </c>
      <c r="BA369" s="56" t="s">
        <v>966</v>
      </c>
      <c r="BC369" s="28">
        <f t="shared" si="55"/>
        <v>0</v>
      </c>
      <c r="BD369" s="28">
        <f t="shared" si="56"/>
        <v>0</v>
      </c>
      <c r="BE369" s="28">
        <v>0</v>
      </c>
      <c r="BF369" s="28">
        <f>369</f>
        <v>369</v>
      </c>
      <c r="BH369" s="60">
        <f t="shared" si="57"/>
        <v>0</v>
      </c>
      <c r="BI369" s="60">
        <f t="shared" si="58"/>
        <v>0</v>
      </c>
      <c r="BJ369" s="60">
        <f t="shared" si="59"/>
        <v>0</v>
      </c>
      <c r="BK369" s="60" t="s">
        <v>971</v>
      </c>
      <c r="BL369" s="28">
        <v>766</v>
      </c>
    </row>
    <row r="370" spans="1:64" x14ac:dyDescent="0.25">
      <c r="A370" s="34" t="s">
        <v>215</v>
      </c>
      <c r="B370" s="41" t="s">
        <v>409</v>
      </c>
      <c r="C370" s="146" t="s">
        <v>778</v>
      </c>
      <c r="D370" s="147"/>
      <c r="E370" s="147"/>
      <c r="F370" s="147"/>
      <c r="G370" s="147"/>
      <c r="H370" s="41" t="s">
        <v>897</v>
      </c>
      <c r="I370" s="76">
        <f>'Stavební rozpočet'!I370</f>
        <v>1</v>
      </c>
      <c r="J370" s="60"/>
      <c r="K370" s="60">
        <f t="shared" si="40"/>
        <v>0</v>
      </c>
      <c r="L370" s="53" t="s">
        <v>906</v>
      </c>
      <c r="M370" s="17"/>
      <c r="Z370" s="28">
        <f t="shared" si="41"/>
        <v>0</v>
      </c>
      <c r="AB370" s="28">
        <f t="shared" si="42"/>
        <v>0</v>
      </c>
      <c r="AC370" s="28">
        <f t="shared" si="43"/>
        <v>0</v>
      </c>
      <c r="AD370" s="28">
        <f t="shared" si="44"/>
        <v>0</v>
      </c>
      <c r="AE370" s="28">
        <f t="shared" si="45"/>
        <v>0</v>
      </c>
      <c r="AF370" s="28">
        <f t="shared" si="46"/>
        <v>0</v>
      </c>
      <c r="AG370" s="28">
        <f t="shared" si="47"/>
        <v>0</v>
      </c>
      <c r="AH370" s="28">
        <f t="shared" si="48"/>
        <v>0</v>
      </c>
      <c r="AI370" s="56" t="s">
        <v>72</v>
      </c>
      <c r="AJ370" s="60">
        <f t="shared" si="49"/>
        <v>0</v>
      </c>
      <c r="AK370" s="60">
        <f t="shared" si="50"/>
        <v>0</v>
      </c>
      <c r="AL370" s="60">
        <f t="shared" si="51"/>
        <v>0</v>
      </c>
      <c r="AN370" s="28">
        <v>21</v>
      </c>
      <c r="AO370" s="28">
        <f t="shared" si="60"/>
        <v>0</v>
      </c>
      <c r="AP370" s="28">
        <f t="shared" si="61"/>
        <v>0</v>
      </c>
      <c r="AQ370" s="57" t="s">
        <v>88</v>
      </c>
      <c r="AV370" s="28">
        <f t="shared" si="52"/>
        <v>0</v>
      </c>
      <c r="AW370" s="28">
        <f t="shared" si="53"/>
        <v>0</v>
      </c>
      <c r="AX370" s="28">
        <f t="shared" si="54"/>
        <v>0</v>
      </c>
      <c r="AY370" s="59" t="s">
        <v>940</v>
      </c>
      <c r="AZ370" s="59" t="s">
        <v>961</v>
      </c>
      <c r="BA370" s="56" t="s">
        <v>966</v>
      </c>
      <c r="BC370" s="28">
        <f t="shared" si="55"/>
        <v>0</v>
      </c>
      <c r="BD370" s="28">
        <f t="shared" si="56"/>
        <v>0</v>
      </c>
      <c r="BE370" s="28">
        <v>0</v>
      </c>
      <c r="BF370" s="28">
        <f>370</f>
        <v>370</v>
      </c>
      <c r="BH370" s="60">
        <f t="shared" si="57"/>
        <v>0</v>
      </c>
      <c r="BI370" s="60">
        <f t="shared" si="58"/>
        <v>0</v>
      </c>
      <c r="BJ370" s="60">
        <f t="shared" si="59"/>
        <v>0</v>
      </c>
      <c r="BK370" s="60" t="s">
        <v>971</v>
      </c>
      <c r="BL370" s="28">
        <v>766</v>
      </c>
    </row>
    <row r="371" spans="1:64" x14ac:dyDescent="0.25">
      <c r="A371" s="34" t="s">
        <v>216</v>
      </c>
      <c r="B371" s="41" t="s">
        <v>410</v>
      </c>
      <c r="C371" s="146" t="s">
        <v>779</v>
      </c>
      <c r="D371" s="147"/>
      <c r="E371" s="147"/>
      <c r="F371" s="147"/>
      <c r="G371" s="147"/>
      <c r="H371" s="41" t="s">
        <v>897</v>
      </c>
      <c r="I371" s="76">
        <f>'Stavební rozpočet'!I371</f>
        <v>3</v>
      </c>
      <c r="J371" s="60"/>
      <c r="K371" s="60">
        <f t="shared" si="40"/>
        <v>0</v>
      </c>
      <c r="L371" s="53" t="s">
        <v>906</v>
      </c>
      <c r="M371" s="17"/>
      <c r="Z371" s="28">
        <f t="shared" si="41"/>
        <v>0</v>
      </c>
      <c r="AB371" s="28">
        <f t="shared" si="42"/>
        <v>0</v>
      </c>
      <c r="AC371" s="28">
        <f t="shared" si="43"/>
        <v>0</v>
      </c>
      <c r="AD371" s="28">
        <f t="shared" si="44"/>
        <v>0</v>
      </c>
      <c r="AE371" s="28">
        <f t="shared" si="45"/>
        <v>0</v>
      </c>
      <c r="AF371" s="28">
        <f t="shared" si="46"/>
        <v>0</v>
      </c>
      <c r="AG371" s="28">
        <f t="shared" si="47"/>
        <v>0</v>
      </c>
      <c r="AH371" s="28">
        <f t="shared" si="48"/>
        <v>0</v>
      </c>
      <c r="AI371" s="56" t="s">
        <v>72</v>
      </c>
      <c r="AJ371" s="60">
        <f t="shared" si="49"/>
        <v>0</v>
      </c>
      <c r="AK371" s="60">
        <f t="shared" si="50"/>
        <v>0</v>
      </c>
      <c r="AL371" s="60">
        <f t="shared" si="51"/>
        <v>0</v>
      </c>
      <c r="AN371" s="28">
        <v>21</v>
      </c>
      <c r="AO371" s="28">
        <f t="shared" si="60"/>
        <v>0</v>
      </c>
      <c r="AP371" s="28">
        <f t="shared" si="61"/>
        <v>0</v>
      </c>
      <c r="AQ371" s="57" t="s">
        <v>88</v>
      </c>
      <c r="AV371" s="28">
        <f t="shared" si="52"/>
        <v>0</v>
      </c>
      <c r="AW371" s="28">
        <f t="shared" si="53"/>
        <v>0</v>
      </c>
      <c r="AX371" s="28">
        <f t="shared" si="54"/>
        <v>0</v>
      </c>
      <c r="AY371" s="59" t="s">
        <v>940</v>
      </c>
      <c r="AZ371" s="59" t="s">
        <v>961</v>
      </c>
      <c r="BA371" s="56" t="s">
        <v>966</v>
      </c>
      <c r="BC371" s="28">
        <f t="shared" si="55"/>
        <v>0</v>
      </c>
      <c r="BD371" s="28">
        <f t="shared" si="56"/>
        <v>0</v>
      </c>
      <c r="BE371" s="28">
        <v>0</v>
      </c>
      <c r="BF371" s="28">
        <f>371</f>
        <v>371</v>
      </c>
      <c r="BH371" s="60">
        <f t="shared" si="57"/>
        <v>0</v>
      </c>
      <c r="BI371" s="60">
        <f t="shared" si="58"/>
        <v>0</v>
      </c>
      <c r="BJ371" s="60">
        <f t="shared" si="59"/>
        <v>0</v>
      </c>
      <c r="BK371" s="60" t="s">
        <v>971</v>
      </c>
      <c r="BL371" s="28">
        <v>766</v>
      </c>
    </row>
    <row r="372" spans="1:64" x14ac:dyDescent="0.25">
      <c r="A372" s="34" t="s">
        <v>217</v>
      </c>
      <c r="B372" s="41" t="s">
        <v>411</v>
      </c>
      <c r="C372" s="146" t="s">
        <v>780</v>
      </c>
      <c r="D372" s="147"/>
      <c r="E372" s="147"/>
      <c r="F372" s="147"/>
      <c r="G372" s="147"/>
      <c r="H372" s="41" t="s">
        <v>897</v>
      </c>
      <c r="I372" s="76">
        <f>'Stavební rozpočet'!I372</f>
        <v>3</v>
      </c>
      <c r="J372" s="60"/>
      <c r="K372" s="60">
        <f t="shared" si="40"/>
        <v>0</v>
      </c>
      <c r="L372" s="53" t="s">
        <v>906</v>
      </c>
      <c r="M372" s="17"/>
      <c r="Z372" s="28">
        <f t="shared" si="41"/>
        <v>0</v>
      </c>
      <c r="AB372" s="28">
        <f t="shared" si="42"/>
        <v>0</v>
      </c>
      <c r="AC372" s="28">
        <f t="shared" si="43"/>
        <v>0</v>
      </c>
      <c r="AD372" s="28">
        <f t="shared" si="44"/>
        <v>0</v>
      </c>
      <c r="AE372" s="28">
        <f t="shared" si="45"/>
        <v>0</v>
      </c>
      <c r="AF372" s="28">
        <f t="shared" si="46"/>
        <v>0</v>
      </c>
      <c r="AG372" s="28">
        <f t="shared" si="47"/>
        <v>0</v>
      </c>
      <c r="AH372" s="28">
        <f t="shared" si="48"/>
        <v>0</v>
      </c>
      <c r="AI372" s="56" t="s">
        <v>72</v>
      </c>
      <c r="AJ372" s="60">
        <f t="shared" si="49"/>
        <v>0</v>
      </c>
      <c r="AK372" s="60">
        <f t="shared" si="50"/>
        <v>0</v>
      </c>
      <c r="AL372" s="60">
        <f t="shared" si="51"/>
        <v>0</v>
      </c>
      <c r="AN372" s="28">
        <v>21</v>
      </c>
      <c r="AO372" s="28">
        <f t="shared" si="60"/>
        <v>0</v>
      </c>
      <c r="AP372" s="28">
        <f t="shared" si="61"/>
        <v>0</v>
      </c>
      <c r="AQ372" s="57" t="s">
        <v>88</v>
      </c>
      <c r="AV372" s="28">
        <f t="shared" si="52"/>
        <v>0</v>
      </c>
      <c r="AW372" s="28">
        <f t="shared" si="53"/>
        <v>0</v>
      </c>
      <c r="AX372" s="28">
        <f t="shared" si="54"/>
        <v>0</v>
      </c>
      <c r="AY372" s="59" t="s">
        <v>940</v>
      </c>
      <c r="AZ372" s="59" t="s">
        <v>961</v>
      </c>
      <c r="BA372" s="56" t="s">
        <v>966</v>
      </c>
      <c r="BC372" s="28">
        <f t="shared" si="55"/>
        <v>0</v>
      </c>
      <c r="BD372" s="28">
        <f t="shared" si="56"/>
        <v>0</v>
      </c>
      <c r="BE372" s="28">
        <v>0</v>
      </c>
      <c r="BF372" s="28">
        <f>372</f>
        <v>372</v>
      </c>
      <c r="BH372" s="60">
        <f t="shared" si="57"/>
        <v>0</v>
      </c>
      <c r="BI372" s="60">
        <f t="shared" si="58"/>
        <v>0</v>
      </c>
      <c r="BJ372" s="60">
        <f t="shared" si="59"/>
        <v>0</v>
      </c>
      <c r="BK372" s="60" t="s">
        <v>971</v>
      </c>
      <c r="BL372" s="28">
        <v>766</v>
      </c>
    </row>
    <row r="373" spans="1:64" x14ac:dyDescent="0.25">
      <c r="A373" s="34" t="s">
        <v>218</v>
      </c>
      <c r="B373" s="41" t="s">
        <v>412</v>
      </c>
      <c r="C373" s="146" t="s">
        <v>781</v>
      </c>
      <c r="D373" s="147"/>
      <c r="E373" s="147"/>
      <c r="F373" s="147"/>
      <c r="G373" s="147"/>
      <c r="H373" s="41" t="s">
        <v>897</v>
      </c>
      <c r="I373" s="76">
        <f>'Stavební rozpočet'!I373</f>
        <v>2</v>
      </c>
      <c r="J373" s="60"/>
      <c r="K373" s="60">
        <f t="shared" si="40"/>
        <v>0</v>
      </c>
      <c r="L373" s="53" t="s">
        <v>906</v>
      </c>
      <c r="M373" s="17"/>
      <c r="Z373" s="28">
        <f t="shared" si="41"/>
        <v>0</v>
      </c>
      <c r="AB373" s="28">
        <f t="shared" si="42"/>
        <v>0</v>
      </c>
      <c r="AC373" s="28">
        <f t="shared" si="43"/>
        <v>0</v>
      </c>
      <c r="AD373" s="28">
        <f t="shared" si="44"/>
        <v>0</v>
      </c>
      <c r="AE373" s="28">
        <f t="shared" si="45"/>
        <v>0</v>
      </c>
      <c r="AF373" s="28">
        <f t="shared" si="46"/>
        <v>0</v>
      </c>
      <c r="AG373" s="28">
        <f t="shared" si="47"/>
        <v>0</v>
      </c>
      <c r="AH373" s="28">
        <f t="shared" si="48"/>
        <v>0</v>
      </c>
      <c r="AI373" s="56" t="s">
        <v>72</v>
      </c>
      <c r="AJ373" s="60">
        <f t="shared" si="49"/>
        <v>0</v>
      </c>
      <c r="AK373" s="60">
        <f t="shared" si="50"/>
        <v>0</v>
      </c>
      <c r="AL373" s="60">
        <f t="shared" si="51"/>
        <v>0</v>
      </c>
      <c r="AN373" s="28">
        <v>21</v>
      </c>
      <c r="AO373" s="28">
        <f t="shared" si="60"/>
        <v>0</v>
      </c>
      <c r="AP373" s="28">
        <f t="shared" si="61"/>
        <v>0</v>
      </c>
      <c r="AQ373" s="57" t="s">
        <v>88</v>
      </c>
      <c r="AV373" s="28">
        <f t="shared" si="52"/>
        <v>0</v>
      </c>
      <c r="AW373" s="28">
        <f t="shared" si="53"/>
        <v>0</v>
      </c>
      <c r="AX373" s="28">
        <f t="shared" si="54"/>
        <v>0</v>
      </c>
      <c r="AY373" s="59" t="s">
        <v>940</v>
      </c>
      <c r="AZ373" s="59" t="s">
        <v>961</v>
      </c>
      <c r="BA373" s="56" t="s">
        <v>966</v>
      </c>
      <c r="BC373" s="28">
        <f t="shared" si="55"/>
        <v>0</v>
      </c>
      <c r="BD373" s="28">
        <f t="shared" si="56"/>
        <v>0</v>
      </c>
      <c r="BE373" s="28">
        <v>0</v>
      </c>
      <c r="BF373" s="28">
        <f>373</f>
        <v>373</v>
      </c>
      <c r="BH373" s="60">
        <f t="shared" si="57"/>
        <v>0</v>
      </c>
      <c r="BI373" s="60">
        <f t="shared" si="58"/>
        <v>0</v>
      </c>
      <c r="BJ373" s="60">
        <f t="shared" si="59"/>
        <v>0</v>
      </c>
      <c r="BK373" s="60" t="s">
        <v>971</v>
      </c>
      <c r="BL373" s="28">
        <v>766</v>
      </c>
    </row>
    <row r="374" spans="1:64" x14ac:dyDescent="0.25">
      <c r="A374" s="33"/>
      <c r="B374" s="40" t="s">
        <v>413</v>
      </c>
      <c r="C374" s="144" t="s">
        <v>782</v>
      </c>
      <c r="D374" s="145"/>
      <c r="E374" s="145"/>
      <c r="F374" s="145"/>
      <c r="G374" s="145"/>
      <c r="H374" s="46" t="s">
        <v>58</v>
      </c>
      <c r="I374" s="46" t="s">
        <v>58</v>
      </c>
      <c r="J374" s="46" t="s">
        <v>58</v>
      </c>
      <c r="K374" s="65">
        <f>SUM(K375:K385)</f>
        <v>0</v>
      </c>
      <c r="L374" s="52"/>
      <c r="M374" s="17"/>
      <c r="AI374" s="56" t="s">
        <v>72</v>
      </c>
      <c r="AS374" s="65">
        <f>SUM(AJ375:AJ385)</f>
        <v>0</v>
      </c>
      <c r="AT374" s="65">
        <f>SUM(AK375:AK385)</f>
        <v>0</v>
      </c>
      <c r="AU374" s="65">
        <f>SUM(AL375:AL385)</f>
        <v>0</v>
      </c>
    </row>
    <row r="375" spans="1:64" x14ac:dyDescent="0.25">
      <c r="A375" s="34" t="s">
        <v>219</v>
      </c>
      <c r="B375" s="41" t="s">
        <v>414</v>
      </c>
      <c r="C375" s="146" t="s">
        <v>783</v>
      </c>
      <c r="D375" s="147"/>
      <c r="E375" s="147"/>
      <c r="F375" s="147"/>
      <c r="G375" s="147"/>
      <c r="H375" s="41" t="s">
        <v>891</v>
      </c>
      <c r="I375" s="76">
        <f>'Stavební rozpočet'!I375</f>
        <v>53.9</v>
      </c>
      <c r="J375" s="60"/>
      <c r="K375" s="60">
        <f>I375*J375</f>
        <v>0</v>
      </c>
      <c r="L375" s="53" t="s">
        <v>906</v>
      </c>
      <c r="M375" s="17"/>
      <c r="Z375" s="28">
        <f>IF(AQ375="5",BJ375,0)</f>
        <v>0</v>
      </c>
      <c r="AB375" s="28">
        <f>IF(AQ375="1",BH375,0)</f>
        <v>0</v>
      </c>
      <c r="AC375" s="28">
        <f>IF(AQ375="1",BI375,0)</f>
        <v>0</v>
      </c>
      <c r="AD375" s="28">
        <f>IF(AQ375="7",BH375,0)</f>
        <v>0</v>
      </c>
      <c r="AE375" s="28">
        <f>IF(AQ375="7",BI375,0)</f>
        <v>0</v>
      </c>
      <c r="AF375" s="28">
        <f>IF(AQ375="2",BH375,0)</f>
        <v>0</v>
      </c>
      <c r="AG375" s="28">
        <f>IF(AQ375="2",BI375,0)</f>
        <v>0</v>
      </c>
      <c r="AH375" s="28">
        <f>IF(AQ375="0",BJ375,0)</f>
        <v>0</v>
      </c>
      <c r="AI375" s="56" t="s">
        <v>72</v>
      </c>
      <c r="AJ375" s="60">
        <f>IF(AN375=0,K375,0)</f>
        <v>0</v>
      </c>
      <c r="AK375" s="60">
        <f>IF(AN375=15,K375,0)</f>
        <v>0</v>
      </c>
      <c r="AL375" s="60">
        <f>IF(AN375=21,K375,0)</f>
        <v>0</v>
      </c>
      <c r="AN375" s="28">
        <v>21</v>
      </c>
      <c r="AO375" s="28">
        <f>J375*0</f>
        <v>0</v>
      </c>
      <c r="AP375" s="28">
        <f>J375*(1-0)</f>
        <v>0</v>
      </c>
      <c r="AQ375" s="57" t="s">
        <v>88</v>
      </c>
      <c r="AV375" s="28">
        <f>AW375+AX375</f>
        <v>0</v>
      </c>
      <c r="AW375" s="28">
        <f>I375*AO375</f>
        <v>0</v>
      </c>
      <c r="AX375" s="28">
        <f>I375*AP375</f>
        <v>0</v>
      </c>
      <c r="AY375" s="59" t="s">
        <v>941</v>
      </c>
      <c r="AZ375" s="59" t="s">
        <v>962</v>
      </c>
      <c r="BA375" s="56" t="s">
        <v>966</v>
      </c>
      <c r="BC375" s="28">
        <f>AW375+AX375</f>
        <v>0</v>
      </c>
      <c r="BD375" s="28">
        <f>J375/(100-BE375)*100</f>
        <v>0</v>
      </c>
      <c r="BE375" s="28">
        <v>0</v>
      </c>
      <c r="BF375" s="28">
        <f>375</f>
        <v>375</v>
      </c>
      <c r="BH375" s="60">
        <f>I375*AO375</f>
        <v>0</v>
      </c>
      <c r="BI375" s="60">
        <f>I375*AP375</f>
        <v>0</v>
      </c>
      <c r="BJ375" s="60">
        <f>I375*J375</f>
        <v>0</v>
      </c>
      <c r="BK375" s="60" t="s">
        <v>971</v>
      </c>
      <c r="BL375" s="28">
        <v>771</v>
      </c>
    </row>
    <row r="376" spans="1:64" x14ac:dyDescent="0.25">
      <c r="A376" s="17"/>
      <c r="C376" s="148" t="s">
        <v>784</v>
      </c>
      <c r="D376" s="149"/>
      <c r="E376" s="149"/>
      <c r="F376" s="149"/>
      <c r="G376" s="149"/>
      <c r="I376" s="77">
        <v>24.84</v>
      </c>
      <c r="J376" s="84"/>
      <c r="L376" s="14"/>
      <c r="M376" s="17"/>
    </row>
    <row r="377" spans="1:64" x14ac:dyDescent="0.25">
      <c r="A377" s="17"/>
      <c r="C377" s="148" t="s">
        <v>621</v>
      </c>
      <c r="D377" s="149"/>
      <c r="E377" s="149"/>
      <c r="F377" s="149"/>
      <c r="G377" s="149"/>
      <c r="I377" s="77">
        <v>10.26</v>
      </c>
      <c r="J377" s="84"/>
      <c r="L377" s="14"/>
      <c r="M377" s="17"/>
    </row>
    <row r="378" spans="1:64" x14ac:dyDescent="0.25">
      <c r="A378" s="17"/>
      <c r="C378" s="148" t="s">
        <v>785</v>
      </c>
      <c r="D378" s="149"/>
      <c r="E378" s="149"/>
      <c r="F378" s="149"/>
      <c r="G378" s="149"/>
      <c r="I378" s="77">
        <v>7.3</v>
      </c>
      <c r="J378" s="84"/>
      <c r="L378" s="14"/>
      <c r="M378" s="17"/>
    </row>
    <row r="379" spans="1:64" x14ac:dyDescent="0.25">
      <c r="A379" s="17"/>
      <c r="C379" s="148" t="s">
        <v>563</v>
      </c>
      <c r="D379" s="149"/>
      <c r="E379" s="149"/>
      <c r="F379" s="149"/>
      <c r="G379" s="149"/>
      <c r="I379" s="77">
        <v>11.5</v>
      </c>
      <c r="J379" s="84"/>
      <c r="L379" s="14"/>
      <c r="M379" s="17"/>
    </row>
    <row r="380" spans="1:64" x14ac:dyDescent="0.25">
      <c r="A380" s="34" t="s">
        <v>220</v>
      </c>
      <c r="B380" s="41" t="s">
        <v>415</v>
      </c>
      <c r="C380" s="146" t="s">
        <v>786</v>
      </c>
      <c r="D380" s="147"/>
      <c r="E380" s="147"/>
      <c r="F380" s="147"/>
      <c r="G380" s="147"/>
      <c r="H380" s="41" t="s">
        <v>891</v>
      </c>
      <c r="I380" s="76">
        <f>'Stavební rozpočet'!I380</f>
        <v>40.619999999999997</v>
      </c>
      <c r="J380" s="60"/>
      <c r="K380" s="60">
        <f>I380*J380</f>
        <v>0</v>
      </c>
      <c r="L380" s="53" t="s">
        <v>906</v>
      </c>
      <c r="M380" s="17"/>
      <c r="Z380" s="28">
        <f>IF(AQ380="5",BJ380,0)</f>
        <v>0</v>
      </c>
      <c r="AB380" s="28">
        <f>IF(AQ380="1",BH380,0)</f>
        <v>0</v>
      </c>
      <c r="AC380" s="28">
        <f>IF(AQ380="1",BI380,0)</f>
        <v>0</v>
      </c>
      <c r="AD380" s="28">
        <f>IF(AQ380="7",BH380,0)</f>
        <v>0</v>
      </c>
      <c r="AE380" s="28">
        <f>IF(AQ380="7",BI380,0)</f>
        <v>0</v>
      </c>
      <c r="AF380" s="28">
        <f>IF(AQ380="2",BH380,0)</f>
        <v>0</v>
      </c>
      <c r="AG380" s="28">
        <f>IF(AQ380="2",BI380,0)</f>
        <v>0</v>
      </c>
      <c r="AH380" s="28">
        <f>IF(AQ380="0",BJ380,0)</f>
        <v>0</v>
      </c>
      <c r="AI380" s="56" t="s">
        <v>72</v>
      </c>
      <c r="AJ380" s="60">
        <f>IF(AN380=0,K380,0)</f>
        <v>0</v>
      </c>
      <c r="AK380" s="60">
        <f>IF(AN380=15,K380,0)</f>
        <v>0</v>
      </c>
      <c r="AL380" s="60">
        <f>IF(AN380=21,K380,0)</f>
        <v>0</v>
      </c>
      <c r="AN380" s="28">
        <v>21</v>
      </c>
      <c r="AO380" s="28">
        <f>J380*0</f>
        <v>0</v>
      </c>
      <c r="AP380" s="28">
        <f>J380*(1-0)</f>
        <v>0</v>
      </c>
      <c r="AQ380" s="57" t="s">
        <v>88</v>
      </c>
      <c r="AV380" s="28">
        <f>AW380+AX380</f>
        <v>0</v>
      </c>
      <c r="AW380" s="28">
        <f>I380*AO380</f>
        <v>0</v>
      </c>
      <c r="AX380" s="28">
        <f>I380*AP380</f>
        <v>0</v>
      </c>
      <c r="AY380" s="59" t="s">
        <v>941</v>
      </c>
      <c r="AZ380" s="59" t="s">
        <v>962</v>
      </c>
      <c r="BA380" s="56" t="s">
        <v>966</v>
      </c>
      <c r="BC380" s="28">
        <f>AW380+AX380</f>
        <v>0</v>
      </c>
      <c r="BD380" s="28">
        <f>J380/(100-BE380)*100</f>
        <v>0</v>
      </c>
      <c r="BE380" s="28">
        <v>0</v>
      </c>
      <c r="BF380" s="28">
        <f>380</f>
        <v>380</v>
      </c>
      <c r="BH380" s="60">
        <f>I380*AO380</f>
        <v>0</v>
      </c>
      <c r="BI380" s="60">
        <f>I380*AP380</f>
        <v>0</v>
      </c>
      <c r="BJ380" s="60">
        <f>I380*J380</f>
        <v>0</v>
      </c>
      <c r="BK380" s="60" t="s">
        <v>971</v>
      </c>
      <c r="BL380" s="28">
        <v>771</v>
      </c>
    </row>
    <row r="381" spans="1:64" x14ac:dyDescent="0.25">
      <c r="A381" s="17"/>
      <c r="C381" s="148" t="s">
        <v>787</v>
      </c>
      <c r="D381" s="149"/>
      <c r="E381" s="149"/>
      <c r="F381" s="149"/>
      <c r="G381" s="149"/>
      <c r="I381" s="77">
        <v>40.619999999999997</v>
      </c>
      <c r="J381" s="84"/>
      <c r="L381" s="14"/>
      <c r="M381" s="17"/>
    </row>
    <row r="382" spans="1:64" x14ac:dyDescent="0.25">
      <c r="A382" s="35" t="s">
        <v>221</v>
      </c>
      <c r="B382" s="43" t="s">
        <v>416</v>
      </c>
      <c r="C382" s="159" t="s">
        <v>788</v>
      </c>
      <c r="D382" s="160"/>
      <c r="E382" s="160"/>
      <c r="F382" s="160"/>
      <c r="G382" s="160"/>
      <c r="H382" s="43" t="s">
        <v>891</v>
      </c>
      <c r="I382" s="78">
        <f>'Stavební rozpočet'!I382</f>
        <v>41.365000000000002</v>
      </c>
      <c r="J382" s="61"/>
      <c r="K382" s="61">
        <f>I382*J382</f>
        <v>0</v>
      </c>
      <c r="L382" s="54" t="s">
        <v>906</v>
      </c>
      <c r="M382" s="17"/>
      <c r="Z382" s="28">
        <f>IF(AQ382="5",BJ382,0)</f>
        <v>0</v>
      </c>
      <c r="AB382" s="28">
        <f>IF(AQ382="1",BH382,0)</f>
        <v>0</v>
      </c>
      <c r="AC382" s="28">
        <f>IF(AQ382="1",BI382,0)</f>
        <v>0</v>
      </c>
      <c r="AD382" s="28">
        <f>IF(AQ382="7",BH382,0)</f>
        <v>0</v>
      </c>
      <c r="AE382" s="28">
        <f>IF(AQ382="7",BI382,0)</f>
        <v>0</v>
      </c>
      <c r="AF382" s="28">
        <f>IF(AQ382="2",BH382,0)</f>
        <v>0</v>
      </c>
      <c r="AG382" s="28">
        <f>IF(AQ382="2",BI382,0)</f>
        <v>0</v>
      </c>
      <c r="AH382" s="28">
        <f>IF(AQ382="0",BJ382,0)</f>
        <v>0</v>
      </c>
      <c r="AI382" s="56" t="s">
        <v>72</v>
      </c>
      <c r="AJ382" s="61">
        <f>IF(AN382=0,K382,0)</f>
        <v>0</v>
      </c>
      <c r="AK382" s="61">
        <f>IF(AN382=15,K382,0)</f>
        <v>0</v>
      </c>
      <c r="AL382" s="61">
        <f>IF(AN382=21,K382,0)</f>
        <v>0</v>
      </c>
      <c r="AN382" s="28">
        <v>21</v>
      </c>
      <c r="AO382" s="28">
        <f>J382*1</f>
        <v>0</v>
      </c>
      <c r="AP382" s="28">
        <f>J382*(1-1)</f>
        <v>0</v>
      </c>
      <c r="AQ382" s="58" t="s">
        <v>88</v>
      </c>
      <c r="AV382" s="28">
        <f>AW382+AX382</f>
        <v>0</v>
      </c>
      <c r="AW382" s="28">
        <f>I382*AO382</f>
        <v>0</v>
      </c>
      <c r="AX382" s="28">
        <f>I382*AP382</f>
        <v>0</v>
      </c>
      <c r="AY382" s="59" t="s">
        <v>941</v>
      </c>
      <c r="AZ382" s="59" t="s">
        <v>962</v>
      </c>
      <c r="BA382" s="56" t="s">
        <v>966</v>
      </c>
      <c r="BC382" s="28">
        <f>AW382+AX382</f>
        <v>0</v>
      </c>
      <c r="BD382" s="28">
        <f>J382/(100-BE382)*100</f>
        <v>0</v>
      </c>
      <c r="BE382" s="28">
        <v>0</v>
      </c>
      <c r="BF382" s="28">
        <f>382</f>
        <v>382</v>
      </c>
      <c r="BH382" s="61">
        <f>I382*AO382</f>
        <v>0</v>
      </c>
      <c r="BI382" s="61">
        <f>I382*AP382</f>
        <v>0</v>
      </c>
      <c r="BJ382" s="61">
        <f>I382*J382</f>
        <v>0</v>
      </c>
      <c r="BK382" s="61" t="s">
        <v>972</v>
      </c>
      <c r="BL382" s="28">
        <v>771</v>
      </c>
    </row>
    <row r="383" spans="1:64" x14ac:dyDescent="0.25">
      <c r="A383" s="17"/>
      <c r="C383" s="148" t="s">
        <v>789</v>
      </c>
      <c r="D383" s="149"/>
      <c r="E383" s="149"/>
      <c r="F383" s="149"/>
      <c r="G383" s="149"/>
      <c r="I383" s="77">
        <v>40.159999999999997</v>
      </c>
      <c r="J383" s="84"/>
      <c r="L383" s="14"/>
      <c r="M383" s="17"/>
    </row>
    <row r="384" spans="1:64" x14ac:dyDescent="0.25">
      <c r="A384" s="17"/>
      <c r="C384" s="148" t="s">
        <v>790</v>
      </c>
      <c r="D384" s="149"/>
      <c r="E384" s="149"/>
      <c r="F384" s="149"/>
      <c r="G384" s="149"/>
      <c r="I384" s="77">
        <v>1.2050000000000001</v>
      </c>
      <c r="J384" s="84"/>
      <c r="L384" s="14"/>
      <c r="M384" s="17"/>
    </row>
    <row r="385" spans="1:64" x14ac:dyDescent="0.25">
      <c r="A385" s="35" t="s">
        <v>222</v>
      </c>
      <c r="B385" s="43" t="s">
        <v>417</v>
      </c>
      <c r="C385" s="159" t="s">
        <v>791</v>
      </c>
      <c r="D385" s="160"/>
      <c r="E385" s="160"/>
      <c r="F385" s="160"/>
      <c r="G385" s="160"/>
      <c r="H385" s="43" t="s">
        <v>891</v>
      </c>
      <c r="I385" s="78">
        <f>'Stavební rozpočet'!I385</f>
        <v>55.517000000000003</v>
      </c>
      <c r="J385" s="61"/>
      <c r="K385" s="61">
        <f>I385*J385</f>
        <v>0</v>
      </c>
      <c r="L385" s="54" t="s">
        <v>906</v>
      </c>
      <c r="M385" s="17"/>
      <c r="Z385" s="28">
        <f>IF(AQ385="5",BJ385,0)</f>
        <v>0</v>
      </c>
      <c r="AB385" s="28">
        <f>IF(AQ385="1",BH385,0)</f>
        <v>0</v>
      </c>
      <c r="AC385" s="28">
        <f>IF(AQ385="1",BI385,0)</f>
        <v>0</v>
      </c>
      <c r="AD385" s="28">
        <f>IF(AQ385="7",BH385,0)</f>
        <v>0</v>
      </c>
      <c r="AE385" s="28">
        <f>IF(AQ385="7",BI385,0)</f>
        <v>0</v>
      </c>
      <c r="AF385" s="28">
        <f>IF(AQ385="2",BH385,0)</f>
        <v>0</v>
      </c>
      <c r="AG385" s="28">
        <f>IF(AQ385="2",BI385,0)</f>
        <v>0</v>
      </c>
      <c r="AH385" s="28">
        <f>IF(AQ385="0",BJ385,0)</f>
        <v>0</v>
      </c>
      <c r="AI385" s="56" t="s">
        <v>72</v>
      </c>
      <c r="AJ385" s="61">
        <f>IF(AN385=0,K385,0)</f>
        <v>0</v>
      </c>
      <c r="AK385" s="61">
        <f>IF(AN385=15,K385,0)</f>
        <v>0</v>
      </c>
      <c r="AL385" s="61">
        <f>IF(AN385=21,K385,0)</f>
        <v>0</v>
      </c>
      <c r="AN385" s="28">
        <v>21</v>
      </c>
      <c r="AO385" s="28">
        <f>J385*1</f>
        <v>0</v>
      </c>
      <c r="AP385" s="28">
        <f>J385*(1-1)</f>
        <v>0</v>
      </c>
      <c r="AQ385" s="58" t="s">
        <v>88</v>
      </c>
      <c r="AV385" s="28">
        <f>AW385+AX385</f>
        <v>0</v>
      </c>
      <c r="AW385" s="28">
        <f>I385*AO385</f>
        <v>0</v>
      </c>
      <c r="AX385" s="28">
        <f>I385*AP385</f>
        <v>0</v>
      </c>
      <c r="AY385" s="59" t="s">
        <v>941</v>
      </c>
      <c r="AZ385" s="59" t="s">
        <v>962</v>
      </c>
      <c r="BA385" s="56" t="s">
        <v>966</v>
      </c>
      <c r="BC385" s="28">
        <f>AW385+AX385</f>
        <v>0</v>
      </c>
      <c r="BD385" s="28">
        <f>J385/(100-BE385)*100</f>
        <v>0</v>
      </c>
      <c r="BE385" s="28">
        <v>0</v>
      </c>
      <c r="BF385" s="28">
        <f>385</f>
        <v>385</v>
      </c>
      <c r="BH385" s="61">
        <f>I385*AO385</f>
        <v>0</v>
      </c>
      <c r="BI385" s="61">
        <f>I385*AP385</f>
        <v>0</v>
      </c>
      <c r="BJ385" s="61">
        <f>I385*J385</f>
        <v>0</v>
      </c>
      <c r="BK385" s="61" t="s">
        <v>972</v>
      </c>
      <c r="BL385" s="28">
        <v>771</v>
      </c>
    </row>
    <row r="386" spans="1:64" x14ac:dyDescent="0.25">
      <c r="A386" s="17"/>
      <c r="C386" s="148" t="s">
        <v>792</v>
      </c>
      <c r="D386" s="149"/>
      <c r="E386" s="149"/>
      <c r="F386" s="149"/>
      <c r="G386" s="149"/>
      <c r="I386" s="77">
        <v>53.9</v>
      </c>
      <c r="J386" s="84"/>
      <c r="L386" s="14"/>
      <c r="M386" s="17"/>
    </row>
    <row r="387" spans="1:64" x14ac:dyDescent="0.25">
      <c r="A387" s="17"/>
      <c r="C387" s="148" t="s">
        <v>793</v>
      </c>
      <c r="D387" s="149"/>
      <c r="E387" s="149"/>
      <c r="F387" s="149"/>
      <c r="G387" s="149"/>
      <c r="I387" s="77">
        <v>1.617</v>
      </c>
      <c r="L387" s="14"/>
      <c r="M387" s="17"/>
    </row>
    <row r="388" spans="1:64" x14ac:dyDescent="0.25">
      <c r="A388" s="33"/>
      <c r="B388" s="40" t="s">
        <v>418</v>
      </c>
      <c r="C388" s="144" t="s">
        <v>794</v>
      </c>
      <c r="D388" s="145"/>
      <c r="E388" s="145"/>
      <c r="F388" s="145"/>
      <c r="G388" s="145"/>
      <c r="H388" s="46" t="s">
        <v>58</v>
      </c>
      <c r="I388" s="46" t="s">
        <v>58</v>
      </c>
      <c r="J388" s="46" t="s">
        <v>58</v>
      </c>
      <c r="K388" s="65">
        <f>SUM(K389:K395)</f>
        <v>0</v>
      </c>
      <c r="L388" s="52"/>
      <c r="M388" s="17"/>
      <c r="AI388" s="56" t="s">
        <v>72</v>
      </c>
      <c r="AS388" s="65">
        <f>SUM(AJ389:AJ395)</f>
        <v>0</v>
      </c>
      <c r="AT388" s="65">
        <f>SUM(AK389:AK395)</f>
        <v>0</v>
      </c>
      <c r="AU388" s="65">
        <f>SUM(AL389:AL395)</f>
        <v>0</v>
      </c>
    </row>
    <row r="389" spans="1:64" x14ac:dyDescent="0.25">
      <c r="A389" s="34" t="s">
        <v>223</v>
      </c>
      <c r="B389" s="41" t="s">
        <v>419</v>
      </c>
      <c r="C389" s="146" t="s">
        <v>795</v>
      </c>
      <c r="D389" s="147"/>
      <c r="E389" s="147"/>
      <c r="F389" s="147"/>
      <c r="G389" s="147"/>
      <c r="H389" s="41" t="s">
        <v>891</v>
      </c>
      <c r="I389" s="76">
        <f>'Stavební rozpočet'!I389</f>
        <v>181.93</v>
      </c>
      <c r="J389" s="60"/>
      <c r="K389" s="60">
        <f>I389*J389</f>
        <v>0</v>
      </c>
      <c r="L389" s="53" t="s">
        <v>906</v>
      </c>
      <c r="M389" s="17"/>
      <c r="Z389" s="28">
        <f>IF(AQ389="5",BJ389,0)</f>
        <v>0</v>
      </c>
      <c r="AB389" s="28">
        <f>IF(AQ389="1",BH389,0)</f>
        <v>0</v>
      </c>
      <c r="AC389" s="28">
        <f>IF(AQ389="1",BI389,0)</f>
        <v>0</v>
      </c>
      <c r="AD389" s="28">
        <f>IF(AQ389="7",BH389,0)</f>
        <v>0</v>
      </c>
      <c r="AE389" s="28">
        <f>IF(AQ389="7",BI389,0)</f>
        <v>0</v>
      </c>
      <c r="AF389" s="28">
        <f>IF(AQ389="2",BH389,0)</f>
        <v>0</v>
      </c>
      <c r="AG389" s="28">
        <f>IF(AQ389="2",BI389,0)</f>
        <v>0</v>
      </c>
      <c r="AH389" s="28">
        <f>IF(AQ389="0",BJ389,0)</f>
        <v>0</v>
      </c>
      <c r="AI389" s="56" t="s">
        <v>72</v>
      </c>
      <c r="AJ389" s="60">
        <f>IF(AN389=0,K389,0)</f>
        <v>0</v>
      </c>
      <c r="AK389" s="60">
        <f>IF(AN389=15,K389,0)</f>
        <v>0</v>
      </c>
      <c r="AL389" s="60">
        <f>IF(AN389=21,K389,0)</f>
        <v>0</v>
      </c>
      <c r="AN389" s="28">
        <v>21</v>
      </c>
      <c r="AO389" s="28">
        <f>J389*0.36804707674366</f>
        <v>0</v>
      </c>
      <c r="AP389" s="28">
        <f>J389*(1-0.36804707674366)</f>
        <v>0</v>
      </c>
      <c r="AQ389" s="57" t="s">
        <v>88</v>
      </c>
      <c r="AV389" s="28">
        <f>AW389+AX389</f>
        <v>0</v>
      </c>
      <c r="AW389" s="28">
        <f>I389*AO389</f>
        <v>0</v>
      </c>
      <c r="AX389" s="28">
        <f>I389*AP389</f>
        <v>0</v>
      </c>
      <c r="AY389" s="59" t="s">
        <v>942</v>
      </c>
      <c r="AZ389" s="59" t="s">
        <v>962</v>
      </c>
      <c r="BA389" s="56" t="s">
        <v>966</v>
      </c>
      <c r="BC389" s="28">
        <f>AW389+AX389</f>
        <v>0</v>
      </c>
      <c r="BD389" s="28">
        <f>J389/(100-BE389)*100</f>
        <v>0</v>
      </c>
      <c r="BE389" s="28">
        <v>0</v>
      </c>
      <c r="BF389" s="28">
        <f>389</f>
        <v>389</v>
      </c>
      <c r="BH389" s="60">
        <f>I389*AO389</f>
        <v>0</v>
      </c>
      <c r="BI389" s="60">
        <f>I389*AP389</f>
        <v>0</v>
      </c>
      <c r="BJ389" s="60">
        <f>I389*J389</f>
        <v>0</v>
      </c>
      <c r="BK389" s="60" t="s">
        <v>971</v>
      </c>
      <c r="BL389" s="28">
        <v>775</v>
      </c>
    </row>
    <row r="390" spans="1:64" x14ac:dyDescent="0.25">
      <c r="A390" s="17"/>
      <c r="C390" s="148" t="s">
        <v>796</v>
      </c>
      <c r="D390" s="149"/>
      <c r="E390" s="149"/>
      <c r="F390" s="149"/>
      <c r="G390" s="149"/>
      <c r="I390" s="77">
        <v>80.680000000000007</v>
      </c>
      <c r="J390" s="84"/>
      <c r="L390" s="14"/>
      <c r="M390" s="17"/>
    </row>
    <row r="391" spans="1:64" x14ac:dyDescent="0.25">
      <c r="A391" s="17"/>
      <c r="C391" s="148" t="s">
        <v>797</v>
      </c>
      <c r="D391" s="149"/>
      <c r="E391" s="149"/>
      <c r="F391" s="149"/>
      <c r="G391" s="149"/>
      <c r="I391" s="77">
        <v>101.25</v>
      </c>
      <c r="J391" s="84"/>
      <c r="L391" s="14"/>
      <c r="M391" s="17"/>
    </row>
    <row r="392" spans="1:64" x14ac:dyDescent="0.25">
      <c r="A392" s="34" t="s">
        <v>224</v>
      </c>
      <c r="B392" s="41" t="s">
        <v>420</v>
      </c>
      <c r="C392" s="146" t="s">
        <v>798</v>
      </c>
      <c r="D392" s="147"/>
      <c r="E392" s="147"/>
      <c r="F392" s="147"/>
      <c r="G392" s="147"/>
      <c r="H392" s="41" t="s">
        <v>891</v>
      </c>
      <c r="I392" s="76">
        <f>'Stavební rozpočet'!I392</f>
        <v>181.93</v>
      </c>
      <c r="J392" s="60"/>
      <c r="K392" s="60">
        <f>I392*J392</f>
        <v>0</v>
      </c>
      <c r="L392" s="53" t="s">
        <v>906</v>
      </c>
      <c r="M392" s="17"/>
      <c r="Z392" s="28">
        <f>IF(AQ392="5",BJ392,0)</f>
        <v>0</v>
      </c>
      <c r="AB392" s="28">
        <f>IF(AQ392="1",BH392,0)</f>
        <v>0</v>
      </c>
      <c r="AC392" s="28">
        <f>IF(AQ392="1",BI392,0)</f>
        <v>0</v>
      </c>
      <c r="AD392" s="28">
        <f>IF(AQ392="7",BH392,0)</f>
        <v>0</v>
      </c>
      <c r="AE392" s="28">
        <f>IF(AQ392="7",BI392,0)</f>
        <v>0</v>
      </c>
      <c r="AF392" s="28">
        <f>IF(AQ392="2",BH392,0)</f>
        <v>0</v>
      </c>
      <c r="AG392" s="28">
        <f>IF(AQ392="2",BI392,0)</f>
        <v>0</v>
      </c>
      <c r="AH392" s="28">
        <f>IF(AQ392="0",BJ392,0)</f>
        <v>0</v>
      </c>
      <c r="AI392" s="56" t="s">
        <v>72</v>
      </c>
      <c r="AJ392" s="60">
        <f>IF(AN392=0,K392,0)</f>
        <v>0</v>
      </c>
      <c r="AK392" s="60">
        <f>IF(AN392=15,K392,0)</f>
        <v>0</v>
      </c>
      <c r="AL392" s="60">
        <f>IF(AN392=21,K392,0)</f>
        <v>0</v>
      </c>
      <c r="AN392" s="28">
        <v>21</v>
      </c>
      <c r="AO392" s="28">
        <f>J392*0</f>
        <v>0</v>
      </c>
      <c r="AP392" s="28">
        <f>J392*(1-0)</f>
        <v>0</v>
      </c>
      <c r="AQ392" s="57" t="s">
        <v>88</v>
      </c>
      <c r="AV392" s="28">
        <f>AW392+AX392</f>
        <v>0</v>
      </c>
      <c r="AW392" s="28">
        <f>I392*AO392</f>
        <v>0</v>
      </c>
      <c r="AX392" s="28">
        <f>I392*AP392</f>
        <v>0</v>
      </c>
      <c r="AY392" s="59" t="s">
        <v>942</v>
      </c>
      <c r="AZ392" s="59" t="s">
        <v>962</v>
      </c>
      <c r="BA392" s="56" t="s">
        <v>966</v>
      </c>
      <c r="BC392" s="28">
        <f>AW392+AX392</f>
        <v>0</v>
      </c>
      <c r="BD392" s="28">
        <f>J392/(100-BE392)*100</f>
        <v>0</v>
      </c>
      <c r="BE392" s="28">
        <v>0</v>
      </c>
      <c r="BF392" s="28">
        <f>392</f>
        <v>392</v>
      </c>
      <c r="BH392" s="60">
        <f>I392*AO392</f>
        <v>0</v>
      </c>
      <c r="BI392" s="60">
        <f>I392*AP392</f>
        <v>0</v>
      </c>
      <c r="BJ392" s="60">
        <f>I392*J392</f>
        <v>0</v>
      </c>
      <c r="BK392" s="60" t="s">
        <v>971</v>
      </c>
      <c r="BL392" s="28">
        <v>775</v>
      </c>
    </row>
    <row r="393" spans="1:64" x14ac:dyDescent="0.25">
      <c r="A393" s="17"/>
      <c r="C393" s="148" t="s">
        <v>796</v>
      </c>
      <c r="D393" s="149"/>
      <c r="E393" s="149"/>
      <c r="F393" s="149"/>
      <c r="G393" s="149"/>
      <c r="I393" s="77">
        <v>80.680000000000007</v>
      </c>
      <c r="J393" s="84"/>
      <c r="L393" s="14"/>
      <c r="M393" s="17"/>
    </row>
    <row r="394" spans="1:64" x14ac:dyDescent="0.25">
      <c r="A394" s="17"/>
      <c r="C394" s="148" t="s">
        <v>797</v>
      </c>
      <c r="D394" s="149"/>
      <c r="E394" s="149"/>
      <c r="F394" s="149"/>
      <c r="G394" s="149"/>
      <c r="I394" s="77">
        <v>101.25</v>
      </c>
      <c r="J394" s="84"/>
      <c r="L394" s="14"/>
      <c r="M394" s="17"/>
    </row>
    <row r="395" spans="1:64" x14ac:dyDescent="0.25">
      <c r="A395" s="35" t="s">
        <v>225</v>
      </c>
      <c r="B395" s="43" t="s">
        <v>421</v>
      </c>
      <c r="C395" s="159" t="s">
        <v>799</v>
      </c>
      <c r="D395" s="160"/>
      <c r="E395" s="160"/>
      <c r="F395" s="160"/>
      <c r="G395" s="160"/>
      <c r="H395" s="43" t="s">
        <v>891</v>
      </c>
      <c r="I395" s="78">
        <f>'Stavební rozpočet'!I395</f>
        <v>187.38800000000001</v>
      </c>
      <c r="J395" s="61"/>
      <c r="K395" s="61">
        <f>I395*J395</f>
        <v>0</v>
      </c>
      <c r="L395" s="54" t="s">
        <v>906</v>
      </c>
      <c r="M395" s="17"/>
      <c r="Z395" s="28">
        <f>IF(AQ395="5",BJ395,0)</f>
        <v>0</v>
      </c>
      <c r="AB395" s="28">
        <f>IF(AQ395="1",BH395,0)</f>
        <v>0</v>
      </c>
      <c r="AC395" s="28">
        <f>IF(AQ395="1",BI395,0)</f>
        <v>0</v>
      </c>
      <c r="AD395" s="28">
        <f>IF(AQ395="7",BH395,0)</f>
        <v>0</v>
      </c>
      <c r="AE395" s="28">
        <f>IF(AQ395="7",BI395,0)</f>
        <v>0</v>
      </c>
      <c r="AF395" s="28">
        <f>IF(AQ395="2",BH395,0)</f>
        <v>0</v>
      </c>
      <c r="AG395" s="28">
        <f>IF(AQ395="2",BI395,0)</f>
        <v>0</v>
      </c>
      <c r="AH395" s="28">
        <f>IF(AQ395="0",BJ395,0)</f>
        <v>0</v>
      </c>
      <c r="AI395" s="56" t="s">
        <v>72</v>
      </c>
      <c r="AJ395" s="61">
        <f>IF(AN395=0,K395,0)</f>
        <v>0</v>
      </c>
      <c r="AK395" s="61">
        <f>IF(AN395=15,K395,0)</f>
        <v>0</v>
      </c>
      <c r="AL395" s="61">
        <f>IF(AN395=21,K395,0)</f>
        <v>0</v>
      </c>
      <c r="AN395" s="28">
        <v>21</v>
      </c>
      <c r="AO395" s="28">
        <f>J395*1</f>
        <v>0</v>
      </c>
      <c r="AP395" s="28">
        <f>J395*(1-1)</f>
        <v>0</v>
      </c>
      <c r="AQ395" s="58" t="s">
        <v>88</v>
      </c>
      <c r="AV395" s="28">
        <f>AW395+AX395</f>
        <v>0</v>
      </c>
      <c r="AW395" s="28">
        <f>I395*AO395</f>
        <v>0</v>
      </c>
      <c r="AX395" s="28">
        <f>I395*AP395</f>
        <v>0</v>
      </c>
      <c r="AY395" s="59" t="s">
        <v>942</v>
      </c>
      <c r="AZ395" s="59" t="s">
        <v>962</v>
      </c>
      <c r="BA395" s="56" t="s">
        <v>966</v>
      </c>
      <c r="BC395" s="28">
        <f>AW395+AX395</f>
        <v>0</v>
      </c>
      <c r="BD395" s="28">
        <f>J395/(100-BE395)*100</f>
        <v>0</v>
      </c>
      <c r="BE395" s="28">
        <v>0</v>
      </c>
      <c r="BF395" s="28">
        <f>395</f>
        <v>395</v>
      </c>
      <c r="BH395" s="61">
        <f>I395*AO395</f>
        <v>0</v>
      </c>
      <c r="BI395" s="61">
        <f>I395*AP395</f>
        <v>0</v>
      </c>
      <c r="BJ395" s="61">
        <f>I395*J395</f>
        <v>0</v>
      </c>
      <c r="BK395" s="61" t="s">
        <v>972</v>
      </c>
      <c r="BL395" s="28">
        <v>775</v>
      </c>
    </row>
    <row r="396" spans="1:64" x14ac:dyDescent="0.25">
      <c r="A396" s="17"/>
      <c r="C396" s="148" t="s">
        <v>800</v>
      </c>
      <c r="D396" s="149"/>
      <c r="E396" s="149"/>
      <c r="F396" s="149"/>
      <c r="G396" s="149"/>
      <c r="I396" s="77">
        <v>181.93</v>
      </c>
      <c r="L396" s="14"/>
      <c r="M396" s="17"/>
    </row>
    <row r="397" spans="1:64" x14ac:dyDescent="0.25">
      <c r="A397" s="17"/>
      <c r="C397" s="148" t="s">
        <v>801</v>
      </c>
      <c r="D397" s="149"/>
      <c r="E397" s="149"/>
      <c r="F397" s="149"/>
      <c r="G397" s="149"/>
      <c r="I397" s="77">
        <v>5.4580000000000002</v>
      </c>
      <c r="L397" s="14"/>
      <c r="M397" s="17"/>
    </row>
    <row r="398" spans="1:64" x14ac:dyDescent="0.25">
      <c r="A398" s="33"/>
      <c r="B398" s="40" t="s">
        <v>422</v>
      </c>
      <c r="C398" s="144" t="s">
        <v>802</v>
      </c>
      <c r="D398" s="145"/>
      <c r="E398" s="145"/>
      <c r="F398" s="145"/>
      <c r="G398" s="145"/>
      <c r="H398" s="46" t="s">
        <v>58</v>
      </c>
      <c r="I398" s="46" t="s">
        <v>58</v>
      </c>
      <c r="J398" s="46" t="s">
        <v>58</v>
      </c>
      <c r="K398" s="65">
        <f>SUM(K399:K409)</f>
        <v>0</v>
      </c>
      <c r="L398" s="52"/>
      <c r="M398" s="17"/>
      <c r="AI398" s="56" t="s">
        <v>72</v>
      </c>
      <c r="AS398" s="65">
        <f>SUM(AJ399:AJ409)</f>
        <v>0</v>
      </c>
      <c r="AT398" s="65">
        <f>SUM(AK399:AK409)</f>
        <v>0</v>
      </c>
      <c r="AU398" s="65">
        <f>SUM(AL399:AL409)</f>
        <v>0</v>
      </c>
    </row>
    <row r="399" spans="1:64" x14ac:dyDescent="0.25">
      <c r="A399" s="34" t="s">
        <v>226</v>
      </c>
      <c r="B399" s="41" t="s">
        <v>423</v>
      </c>
      <c r="C399" s="146" t="s">
        <v>803</v>
      </c>
      <c r="D399" s="147"/>
      <c r="E399" s="147"/>
      <c r="F399" s="147"/>
      <c r="G399" s="147"/>
      <c r="H399" s="41" t="s">
        <v>891</v>
      </c>
      <c r="I399" s="76">
        <f>'Stavební rozpočet'!I399</f>
        <v>25.52</v>
      </c>
      <c r="J399" s="60"/>
      <c r="K399" s="60">
        <f>I399*J399</f>
        <v>0</v>
      </c>
      <c r="L399" s="53" t="s">
        <v>906</v>
      </c>
      <c r="M399" s="17"/>
      <c r="Z399" s="28">
        <f>IF(AQ399="5",BJ399,0)</f>
        <v>0</v>
      </c>
      <c r="AB399" s="28">
        <f>IF(AQ399="1",BH399,0)</f>
        <v>0</v>
      </c>
      <c r="AC399" s="28">
        <f>IF(AQ399="1",BI399,0)</f>
        <v>0</v>
      </c>
      <c r="AD399" s="28">
        <f>IF(AQ399="7",BH399,0)</f>
        <v>0</v>
      </c>
      <c r="AE399" s="28">
        <f>IF(AQ399="7",BI399,0)</f>
        <v>0</v>
      </c>
      <c r="AF399" s="28">
        <f>IF(AQ399="2",BH399,0)</f>
        <v>0</v>
      </c>
      <c r="AG399" s="28">
        <f>IF(AQ399="2",BI399,0)</f>
        <v>0</v>
      </c>
      <c r="AH399" s="28">
        <f>IF(AQ399="0",BJ399,0)</f>
        <v>0</v>
      </c>
      <c r="AI399" s="56" t="s">
        <v>72</v>
      </c>
      <c r="AJ399" s="60">
        <f>IF(AN399=0,K399,0)</f>
        <v>0</v>
      </c>
      <c r="AK399" s="60">
        <f>IF(AN399=15,K399,0)</f>
        <v>0</v>
      </c>
      <c r="AL399" s="60">
        <f>IF(AN399=21,K399,0)</f>
        <v>0</v>
      </c>
      <c r="AN399" s="28">
        <v>21</v>
      </c>
      <c r="AO399" s="28">
        <f>J399*0</f>
        <v>0</v>
      </c>
      <c r="AP399" s="28">
        <f>J399*(1-0)</f>
        <v>0</v>
      </c>
      <c r="AQ399" s="57" t="s">
        <v>88</v>
      </c>
      <c r="AV399" s="28">
        <f>AW399+AX399</f>
        <v>0</v>
      </c>
      <c r="AW399" s="28">
        <f>I399*AO399</f>
        <v>0</v>
      </c>
      <c r="AX399" s="28">
        <f>I399*AP399</f>
        <v>0</v>
      </c>
      <c r="AY399" s="59" t="s">
        <v>943</v>
      </c>
      <c r="AZ399" s="59" t="s">
        <v>963</v>
      </c>
      <c r="BA399" s="56" t="s">
        <v>966</v>
      </c>
      <c r="BC399" s="28">
        <f>AW399+AX399</f>
        <v>0</v>
      </c>
      <c r="BD399" s="28">
        <f>J399/(100-BE399)*100</f>
        <v>0</v>
      </c>
      <c r="BE399" s="28">
        <v>0</v>
      </c>
      <c r="BF399" s="28">
        <f>399</f>
        <v>399</v>
      </c>
      <c r="BH399" s="60">
        <f>I399*AO399</f>
        <v>0</v>
      </c>
      <c r="BI399" s="60">
        <f>I399*AP399</f>
        <v>0</v>
      </c>
      <c r="BJ399" s="60">
        <f>I399*J399</f>
        <v>0</v>
      </c>
      <c r="BK399" s="60" t="s">
        <v>971</v>
      </c>
      <c r="BL399" s="28">
        <v>781</v>
      </c>
    </row>
    <row r="400" spans="1:64" x14ac:dyDescent="0.25">
      <c r="A400" s="17"/>
      <c r="C400" s="148" t="s">
        <v>804</v>
      </c>
      <c r="D400" s="149"/>
      <c r="E400" s="149"/>
      <c r="F400" s="149"/>
      <c r="G400" s="149"/>
      <c r="I400" s="77">
        <v>6.42</v>
      </c>
      <c r="J400" s="84"/>
      <c r="L400" s="14"/>
      <c r="M400" s="17"/>
    </row>
    <row r="401" spans="1:64" x14ac:dyDescent="0.25">
      <c r="A401" s="17"/>
      <c r="C401" s="148" t="s">
        <v>805</v>
      </c>
      <c r="D401" s="149"/>
      <c r="E401" s="149"/>
      <c r="F401" s="149"/>
      <c r="G401" s="149"/>
      <c r="I401" s="77">
        <v>9.1</v>
      </c>
      <c r="J401" s="84"/>
      <c r="L401" s="14"/>
      <c r="M401" s="17"/>
    </row>
    <row r="402" spans="1:64" x14ac:dyDescent="0.25">
      <c r="A402" s="17"/>
      <c r="C402" s="148" t="s">
        <v>806</v>
      </c>
      <c r="D402" s="149"/>
      <c r="E402" s="149"/>
      <c r="F402" s="149"/>
      <c r="G402" s="149"/>
      <c r="I402" s="77">
        <v>10</v>
      </c>
      <c r="J402" s="84"/>
      <c r="L402" s="14"/>
      <c r="M402" s="17"/>
    </row>
    <row r="403" spans="1:64" x14ac:dyDescent="0.25">
      <c r="A403" s="35" t="s">
        <v>227</v>
      </c>
      <c r="B403" s="43" t="s">
        <v>424</v>
      </c>
      <c r="C403" s="159" t="s">
        <v>807</v>
      </c>
      <c r="D403" s="160"/>
      <c r="E403" s="160"/>
      <c r="F403" s="160"/>
      <c r="G403" s="160"/>
      <c r="H403" s="43" t="s">
        <v>891</v>
      </c>
      <c r="I403" s="78">
        <f>'Stavební rozpočet'!I403</f>
        <v>26.286000000000001</v>
      </c>
      <c r="J403" s="61"/>
      <c r="K403" s="61">
        <f>I403*J403</f>
        <v>0</v>
      </c>
      <c r="L403" s="54" t="s">
        <v>906</v>
      </c>
      <c r="M403" s="17"/>
      <c r="Z403" s="28">
        <f>IF(AQ403="5",BJ403,0)</f>
        <v>0</v>
      </c>
      <c r="AB403" s="28">
        <f>IF(AQ403="1",BH403,0)</f>
        <v>0</v>
      </c>
      <c r="AC403" s="28">
        <f>IF(AQ403="1",BI403,0)</f>
        <v>0</v>
      </c>
      <c r="AD403" s="28">
        <f>IF(AQ403="7",BH403,0)</f>
        <v>0</v>
      </c>
      <c r="AE403" s="28">
        <f>IF(AQ403="7",BI403,0)</f>
        <v>0</v>
      </c>
      <c r="AF403" s="28">
        <f>IF(AQ403="2",BH403,0)</f>
        <v>0</v>
      </c>
      <c r="AG403" s="28">
        <f>IF(AQ403="2",BI403,0)</f>
        <v>0</v>
      </c>
      <c r="AH403" s="28">
        <f>IF(AQ403="0",BJ403,0)</f>
        <v>0</v>
      </c>
      <c r="AI403" s="56" t="s">
        <v>72</v>
      </c>
      <c r="AJ403" s="61">
        <f>IF(AN403=0,K403,0)</f>
        <v>0</v>
      </c>
      <c r="AK403" s="61">
        <f>IF(AN403=15,K403,0)</f>
        <v>0</v>
      </c>
      <c r="AL403" s="61">
        <f>IF(AN403=21,K403,0)</f>
        <v>0</v>
      </c>
      <c r="AN403" s="28">
        <v>21</v>
      </c>
      <c r="AO403" s="28">
        <f>J403*1</f>
        <v>0</v>
      </c>
      <c r="AP403" s="28">
        <f>J403*(1-1)</f>
        <v>0</v>
      </c>
      <c r="AQ403" s="58" t="s">
        <v>88</v>
      </c>
      <c r="AV403" s="28">
        <f>AW403+AX403</f>
        <v>0</v>
      </c>
      <c r="AW403" s="28">
        <f>I403*AO403</f>
        <v>0</v>
      </c>
      <c r="AX403" s="28">
        <f>I403*AP403</f>
        <v>0</v>
      </c>
      <c r="AY403" s="59" t="s">
        <v>943</v>
      </c>
      <c r="AZ403" s="59" t="s">
        <v>963</v>
      </c>
      <c r="BA403" s="56" t="s">
        <v>966</v>
      </c>
      <c r="BC403" s="28">
        <f>AW403+AX403</f>
        <v>0</v>
      </c>
      <c r="BD403" s="28">
        <f>J403/(100-BE403)*100</f>
        <v>0</v>
      </c>
      <c r="BE403" s="28">
        <v>0</v>
      </c>
      <c r="BF403" s="28">
        <f>403</f>
        <v>403</v>
      </c>
      <c r="BH403" s="61">
        <f>I403*AO403</f>
        <v>0</v>
      </c>
      <c r="BI403" s="61">
        <f>I403*AP403</f>
        <v>0</v>
      </c>
      <c r="BJ403" s="61">
        <f>I403*J403</f>
        <v>0</v>
      </c>
      <c r="BK403" s="61" t="s">
        <v>972</v>
      </c>
      <c r="BL403" s="28">
        <v>781</v>
      </c>
    </row>
    <row r="404" spans="1:64" x14ac:dyDescent="0.25">
      <c r="A404" s="17"/>
      <c r="C404" s="148" t="s">
        <v>808</v>
      </c>
      <c r="D404" s="149"/>
      <c r="E404" s="149"/>
      <c r="F404" s="149"/>
      <c r="G404" s="149"/>
      <c r="I404" s="77">
        <v>25.52</v>
      </c>
      <c r="J404" s="84"/>
      <c r="L404" s="14"/>
      <c r="M404" s="17"/>
    </row>
    <row r="405" spans="1:64" x14ac:dyDescent="0.25">
      <c r="A405" s="17"/>
      <c r="C405" s="148" t="s">
        <v>809</v>
      </c>
      <c r="D405" s="149"/>
      <c r="E405" s="149"/>
      <c r="F405" s="149"/>
      <c r="G405" s="149"/>
      <c r="I405" s="77">
        <v>0.76600000000000001</v>
      </c>
      <c r="J405" s="84"/>
      <c r="L405" s="14"/>
      <c r="M405" s="17"/>
    </row>
    <row r="406" spans="1:64" x14ac:dyDescent="0.25">
      <c r="A406" s="34" t="s">
        <v>228</v>
      </c>
      <c r="B406" s="41" t="s">
        <v>425</v>
      </c>
      <c r="C406" s="146" t="s">
        <v>810</v>
      </c>
      <c r="D406" s="147"/>
      <c r="E406" s="147"/>
      <c r="F406" s="147"/>
      <c r="G406" s="147"/>
      <c r="H406" s="41" t="s">
        <v>891</v>
      </c>
      <c r="I406" s="76">
        <f>'Stavební rozpočet'!I406</f>
        <v>60.319000000000003</v>
      </c>
      <c r="J406" s="60"/>
      <c r="K406" s="60">
        <f>I406*J406</f>
        <v>0</v>
      </c>
      <c r="L406" s="53" t="s">
        <v>906</v>
      </c>
      <c r="M406" s="17"/>
      <c r="Z406" s="28">
        <f>IF(AQ406="5",BJ406,0)</f>
        <v>0</v>
      </c>
      <c r="AB406" s="28">
        <f>IF(AQ406="1",BH406,0)</f>
        <v>0</v>
      </c>
      <c r="AC406" s="28">
        <f>IF(AQ406="1",BI406,0)</f>
        <v>0</v>
      </c>
      <c r="AD406" s="28">
        <f>IF(AQ406="7",BH406,0)</f>
        <v>0</v>
      </c>
      <c r="AE406" s="28">
        <f>IF(AQ406="7",BI406,0)</f>
        <v>0</v>
      </c>
      <c r="AF406" s="28">
        <f>IF(AQ406="2",BH406,0)</f>
        <v>0</v>
      </c>
      <c r="AG406" s="28">
        <f>IF(AQ406="2",BI406,0)</f>
        <v>0</v>
      </c>
      <c r="AH406" s="28">
        <f>IF(AQ406="0",BJ406,0)</f>
        <v>0</v>
      </c>
      <c r="AI406" s="56" t="s">
        <v>72</v>
      </c>
      <c r="AJ406" s="60">
        <f>IF(AN406=0,K406,0)</f>
        <v>0</v>
      </c>
      <c r="AK406" s="60">
        <f>IF(AN406=15,K406,0)</f>
        <v>0</v>
      </c>
      <c r="AL406" s="60">
        <f>IF(AN406=21,K406,0)</f>
        <v>0</v>
      </c>
      <c r="AN406" s="28">
        <v>21</v>
      </c>
      <c r="AO406" s="28">
        <f>J406*0.132711756968577</f>
        <v>0</v>
      </c>
      <c r="AP406" s="28">
        <f>J406*(1-0.132711756968577)</f>
        <v>0</v>
      </c>
      <c r="AQ406" s="57" t="s">
        <v>88</v>
      </c>
      <c r="AV406" s="28">
        <f>AW406+AX406</f>
        <v>0</v>
      </c>
      <c r="AW406" s="28">
        <f>I406*AO406</f>
        <v>0</v>
      </c>
      <c r="AX406" s="28">
        <f>I406*AP406</f>
        <v>0</v>
      </c>
      <c r="AY406" s="59" t="s">
        <v>943</v>
      </c>
      <c r="AZ406" s="59" t="s">
        <v>963</v>
      </c>
      <c r="BA406" s="56" t="s">
        <v>966</v>
      </c>
      <c r="BC406" s="28">
        <f>AW406+AX406</f>
        <v>0</v>
      </c>
      <c r="BD406" s="28">
        <f>J406/(100-BE406)*100</f>
        <v>0</v>
      </c>
      <c r="BE406" s="28">
        <v>0</v>
      </c>
      <c r="BF406" s="28">
        <f>406</f>
        <v>406</v>
      </c>
      <c r="BH406" s="60">
        <f>I406*AO406</f>
        <v>0</v>
      </c>
      <c r="BI406" s="60">
        <f>I406*AP406</f>
        <v>0</v>
      </c>
      <c r="BJ406" s="60">
        <f>I406*J406</f>
        <v>0</v>
      </c>
      <c r="BK406" s="60" t="s">
        <v>971</v>
      </c>
      <c r="BL406" s="28">
        <v>781</v>
      </c>
    </row>
    <row r="407" spans="1:64" x14ac:dyDescent="0.25">
      <c r="A407" s="17"/>
      <c r="C407" s="148" t="s">
        <v>811</v>
      </c>
      <c r="D407" s="149"/>
      <c r="E407" s="149"/>
      <c r="F407" s="149"/>
      <c r="G407" s="149"/>
      <c r="I407" s="77">
        <v>40.878999999999998</v>
      </c>
      <c r="J407" s="84"/>
      <c r="L407" s="14"/>
      <c r="M407" s="17"/>
    </row>
    <row r="408" spans="1:64" x14ac:dyDescent="0.25">
      <c r="A408" s="17"/>
      <c r="C408" s="148" t="s">
        <v>812</v>
      </c>
      <c r="D408" s="149"/>
      <c r="E408" s="149"/>
      <c r="F408" s="149"/>
      <c r="G408" s="149"/>
      <c r="I408" s="77">
        <v>19.440000000000001</v>
      </c>
      <c r="J408" s="84"/>
      <c r="L408" s="14"/>
      <c r="M408" s="17"/>
    </row>
    <row r="409" spans="1:64" x14ac:dyDescent="0.25">
      <c r="A409" s="35" t="s">
        <v>229</v>
      </c>
      <c r="B409" s="43" t="s">
        <v>426</v>
      </c>
      <c r="C409" s="159" t="s">
        <v>813</v>
      </c>
      <c r="D409" s="160"/>
      <c r="E409" s="160"/>
      <c r="F409" s="160"/>
      <c r="G409" s="160"/>
      <c r="H409" s="43" t="s">
        <v>891</v>
      </c>
      <c r="I409" s="78">
        <f>'Stavební rozpočet'!I409</f>
        <v>62.128999999999998</v>
      </c>
      <c r="J409" s="61"/>
      <c r="K409" s="61">
        <f>I409*J409</f>
        <v>0</v>
      </c>
      <c r="L409" s="54" t="s">
        <v>906</v>
      </c>
      <c r="M409" s="17"/>
      <c r="Z409" s="28">
        <f>IF(AQ409="5",BJ409,0)</f>
        <v>0</v>
      </c>
      <c r="AB409" s="28">
        <f>IF(AQ409="1",BH409,0)</f>
        <v>0</v>
      </c>
      <c r="AC409" s="28">
        <f>IF(AQ409="1",BI409,0)</f>
        <v>0</v>
      </c>
      <c r="AD409" s="28">
        <f>IF(AQ409="7",BH409,0)</f>
        <v>0</v>
      </c>
      <c r="AE409" s="28">
        <f>IF(AQ409="7",BI409,0)</f>
        <v>0</v>
      </c>
      <c r="AF409" s="28">
        <f>IF(AQ409="2",BH409,0)</f>
        <v>0</v>
      </c>
      <c r="AG409" s="28">
        <f>IF(AQ409="2",BI409,0)</f>
        <v>0</v>
      </c>
      <c r="AH409" s="28">
        <f>IF(AQ409="0",BJ409,0)</f>
        <v>0</v>
      </c>
      <c r="AI409" s="56" t="s">
        <v>72</v>
      </c>
      <c r="AJ409" s="61">
        <f>IF(AN409=0,K409,0)</f>
        <v>0</v>
      </c>
      <c r="AK409" s="61">
        <f>IF(AN409=15,K409,0)</f>
        <v>0</v>
      </c>
      <c r="AL409" s="61">
        <f>IF(AN409=21,K409,0)</f>
        <v>0</v>
      </c>
      <c r="AN409" s="28">
        <v>21</v>
      </c>
      <c r="AO409" s="28">
        <f>J409*1</f>
        <v>0</v>
      </c>
      <c r="AP409" s="28">
        <f>J409*(1-1)</f>
        <v>0</v>
      </c>
      <c r="AQ409" s="58" t="s">
        <v>88</v>
      </c>
      <c r="AV409" s="28">
        <f>AW409+AX409</f>
        <v>0</v>
      </c>
      <c r="AW409" s="28">
        <f>I409*AO409</f>
        <v>0</v>
      </c>
      <c r="AX409" s="28">
        <f>I409*AP409</f>
        <v>0</v>
      </c>
      <c r="AY409" s="59" t="s">
        <v>943</v>
      </c>
      <c r="AZ409" s="59" t="s">
        <v>963</v>
      </c>
      <c r="BA409" s="56" t="s">
        <v>966</v>
      </c>
      <c r="BC409" s="28">
        <f>AW409+AX409</f>
        <v>0</v>
      </c>
      <c r="BD409" s="28">
        <f>J409/(100-BE409)*100</f>
        <v>0</v>
      </c>
      <c r="BE409" s="28">
        <v>0</v>
      </c>
      <c r="BF409" s="28">
        <f>409</f>
        <v>409</v>
      </c>
      <c r="BH409" s="61">
        <f>I409*AO409</f>
        <v>0</v>
      </c>
      <c r="BI409" s="61">
        <f>I409*AP409</f>
        <v>0</v>
      </c>
      <c r="BJ409" s="61">
        <f>I409*J409</f>
        <v>0</v>
      </c>
      <c r="BK409" s="61" t="s">
        <v>972</v>
      </c>
      <c r="BL409" s="28">
        <v>781</v>
      </c>
    </row>
    <row r="410" spans="1:64" x14ac:dyDescent="0.25">
      <c r="A410" s="17"/>
      <c r="C410" s="148" t="s">
        <v>811</v>
      </c>
      <c r="D410" s="149"/>
      <c r="E410" s="149"/>
      <c r="F410" s="149"/>
      <c r="G410" s="149"/>
      <c r="I410" s="77">
        <v>40.878999999999998</v>
      </c>
      <c r="L410" s="14"/>
      <c r="M410" s="17"/>
    </row>
    <row r="411" spans="1:64" x14ac:dyDescent="0.25">
      <c r="A411" s="17"/>
      <c r="C411" s="148" t="s">
        <v>812</v>
      </c>
      <c r="D411" s="149"/>
      <c r="E411" s="149"/>
      <c r="F411" s="149"/>
      <c r="G411" s="149"/>
      <c r="I411" s="77">
        <v>19.440000000000001</v>
      </c>
      <c r="L411" s="14"/>
      <c r="M411" s="17"/>
    </row>
    <row r="412" spans="1:64" x14ac:dyDescent="0.25">
      <c r="A412" s="17"/>
      <c r="C412" s="148" t="s">
        <v>814</v>
      </c>
      <c r="D412" s="149"/>
      <c r="E412" s="149"/>
      <c r="F412" s="149"/>
      <c r="G412" s="149"/>
      <c r="I412" s="77">
        <v>1.81</v>
      </c>
      <c r="L412" s="14"/>
      <c r="M412" s="17"/>
    </row>
    <row r="413" spans="1:64" x14ac:dyDescent="0.25">
      <c r="A413" s="33"/>
      <c r="B413" s="40" t="s">
        <v>427</v>
      </c>
      <c r="C413" s="144" t="s">
        <v>815</v>
      </c>
      <c r="D413" s="145"/>
      <c r="E413" s="145"/>
      <c r="F413" s="145"/>
      <c r="G413" s="145"/>
      <c r="H413" s="46" t="s">
        <v>58</v>
      </c>
      <c r="I413" s="46" t="s">
        <v>58</v>
      </c>
      <c r="J413" s="46" t="s">
        <v>58</v>
      </c>
      <c r="K413" s="65">
        <f>SUM(K414:K418)</f>
        <v>0</v>
      </c>
      <c r="L413" s="52"/>
      <c r="M413" s="17"/>
      <c r="AI413" s="56" t="s">
        <v>72</v>
      </c>
      <c r="AS413" s="65">
        <f>SUM(AJ414:AJ418)</f>
        <v>0</v>
      </c>
      <c r="AT413" s="65">
        <f>SUM(AK414:AK418)</f>
        <v>0</v>
      </c>
      <c r="AU413" s="65">
        <f>SUM(AL414:AL418)</f>
        <v>0</v>
      </c>
    </row>
    <row r="414" spans="1:64" x14ac:dyDescent="0.25">
      <c r="A414" s="34" t="s">
        <v>230</v>
      </c>
      <c r="B414" s="41" t="s">
        <v>428</v>
      </c>
      <c r="C414" s="146" t="s">
        <v>816</v>
      </c>
      <c r="D414" s="147"/>
      <c r="E414" s="147"/>
      <c r="F414" s="147"/>
      <c r="G414" s="147"/>
      <c r="H414" s="41" t="s">
        <v>891</v>
      </c>
      <c r="I414" s="76">
        <f>'Stavební rozpočet'!I414</f>
        <v>751.24</v>
      </c>
      <c r="J414" s="60"/>
      <c r="K414" s="60">
        <f>I414*J414</f>
        <v>0</v>
      </c>
      <c r="L414" s="53" t="s">
        <v>906</v>
      </c>
      <c r="M414" s="17"/>
      <c r="Z414" s="28">
        <f>IF(AQ414="5",BJ414,0)</f>
        <v>0</v>
      </c>
      <c r="AB414" s="28">
        <f>IF(AQ414="1",BH414,0)</f>
        <v>0</v>
      </c>
      <c r="AC414" s="28">
        <f>IF(AQ414="1",BI414,0)</f>
        <v>0</v>
      </c>
      <c r="AD414" s="28">
        <f>IF(AQ414="7",BH414,0)</f>
        <v>0</v>
      </c>
      <c r="AE414" s="28">
        <f>IF(AQ414="7",BI414,0)</f>
        <v>0</v>
      </c>
      <c r="AF414" s="28">
        <f>IF(AQ414="2",BH414,0)</f>
        <v>0</v>
      </c>
      <c r="AG414" s="28">
        <f>IF(AQ414="2",BI414,0)</f>
        <v>0</v>
      </c>
      <c r="AH414" s="28">
        <f>IF(AQ414="0",BJ414,0)</f>
        <v>0</v>
      </c>
      <c r="AI414" s="56" t="s">
        <v>72</v>
      </c>
      <c r="AJ414" s="60">
        <f>IF(AN414=0,K414,0)</f>
        <v>0</v>
      </c>
      <c r="AK414" s="60">
        <f>IF(AN414=15,K414,0)</f>
        <v>0</v>
      </c>
      <c r="AL414" s="60">
        <f>IF(AN414=21,K414,0)</f>
        <v>0</v>
      </c>
      <c r="AN414" s="28">
        <v>21</v>
      </c>
      <c r="AO414" s="28">
        <f>J414*0.208</f>
        <v>0</v>
      </c>
      <c r="AP414" s="28">
        <f>J414*(1-0.208)</f>
        <v>0</v>
      </c>
      <c r="AQ414" s="57" t="s">
        <v>88</v>
      </c>
      <c r="AV414" s="28">
        <f>AW414+AX414</f>
        <v>0</v>
      </c>
      <c r="AW414" s="28">
        <f>I414*AO414</f>
        <v>0</v>
      </c>
      <c r="AX414" s="28">
        <f>I414*AP414</f>
        <v>0</v>
      </c>
      <c r="AY414" s="59" t="s">
        <v>944</v>
      </c>
      <c r="AZ414" s="59" t="s">
        <v>963</v>
      </c>
      <c r="BA414" s="56" t="s">
        <v>966</v>
      </c>
      <c r="BC414" s="28">
        <f>AW414+AX414</f>
        <v>0</v>
      </c>
      <c r="BD414" s="28">
        <f>J414/(100-BE414)*100</f>
        <v>0</v>
      </c>
      <c r="BE414" s="28">
        <v>0</v>
      </c>
      <c r="BF414" s="28">
        <f>414</f>
        <v>414</v>
      </c>
      <c r="BH414" s="60">
        <f>I414*AO414</f>
        <v>0</v>
      </c>
      <c r="BI414" s="60">
        <f>I414*AP414</f>
        <v>0</v>
      </c>
      <c r="BJ414" s="60">
        <f>I414*J414</f>
        <v>0</v>
      </c>
      <c r="BK414" s="60" t="s">
        <v>971</v>
      </c>
      <c r="BL414" s="28">
        <v>784</v>
      </c>
    </row>
    <row r="415" spans="1:64" x14ac:dyDescent="0.25">
      <c r="A415" s="17"/>
      <c r="C415" s="148" t="s">
        <v>817</v>
      </c>
      <c r="D415" s="149"/>
      <c r="E415" s="149"/>
      <c r="F415" s="149"/>
      <c r="G415" s="149"/>
      <c r="I415" s="77">
        <v>412.04599999999999</v>
      </c>
      <c r="L415" s="14"/>
      <c r="M415" s="17"/>
    </row>
    <row r="416" spans="1:64" x14ac:dyDescent="0.25">
      <c r="A416" s="17"/>
      <c r="C416" s="148" t="s">
        <v>818</v>
      </c>
      <c r="D416" s="149"/>
      <c r="E416" s="149"/>
      <c r="F416" s="149"/>
      <c r="G416" s="149"/>
      <c r="I416" s="77">
        <v>152.88800000000001</v>
      </c>
      <c r="L416" s="14"/>
      <c r="M416" s="17"/>
    </row>
    <row r="417" spans="1:64" x14ac:dyDescent="0.25">
      <c r="A417" s="17"/>
      <c r="C417" s="148" t="s">
        <v>575</v>
      </c>
      <c r="D417" s="149"/>
      <c r="E417" s="149"/>
      <c r="F417" s="149"/>
      <c r="G417" s="149"/>
      <c r="I417" s="77">
        <v>186.30600000000001</v>
      </c>
      <c r="L417" s="14"/>
      <c r="M417" s="17"/>
    </row>
    <row r="418" spans="1:64" x14ac:dyDescent="0.25">
      <c r="A418" s="34" t="s">
        <v>231</v>
      </c>
      <c r="B418" s="41" t="s">
        <v>429</v>
      </c>
      <c r="C418" s="146" t="s">
        <v>819</v>
      </c>
      <c r="D418" s="147"/>
      <c r="E418" s="147"/>
      <c r="F418" s="147"/>
      <c r="G418" s="147"/>
      <c r="H418" s="41" t="s">
        <v>891</v>
      </c>
      <c r="I418" s="76">
        <f>'Stavební rozpočet'!I418</f>
        <v>983.38300000000004</v>
      </c>
      <c r="J418" s="60"/>
      <c r="K418" s="60">
        <f>I418*J418</f>
        <v>0</v>
      </c>
      <c r="L418" s="53" t="s">
        <v>906</v>
      </c>
      <c r="M418" s="17"/>
      <c r="Z418" s="28">
        <f>IF(AQ418="5",BJ418,0)</f>
        <v>0</v>
      </c>
      <c r="AB418" s="28">
        <f>IF(AQ418="1",BH418,0)</f>
        <v>0</v>
      </c>
      <c r="AC418" s="28">
        <f>IF(AQ418="1",BI418,0)</f>
        <v>0</v>
      </c>
      <c r="AD418" s="28">
        <f>IF(AQ418="7",BH418,0)</f>
        <v>0</v>
      </c>
      <c r="AE418" s="28">
        <f>IF(AQ418="7",BI418,0)</f>
        <v>0</v>
      </c>
      <c r="AF418" s="28">
        <f>IF(AQ418="2",BH418,0)</f>
        <v>0</v>
      </c>
      <c r="AG418" s="28">
        <f>IF(AQ418="2",BI418,0)</f>
        <v>0</v>
      </c>
      <c r="AH418" s="28">
        <f>IF(AQ418="0",BJ418,0)</f>
        <v>0</v>
      </c>
      <c r="AI418" s="56" t="s">
        <v>72</v>
      </c>
      <c r="AJ418" s="60">
        <f>IF(AN418=0,K418,0)</f>
        <v>0</v>
      </c>
      <c r="AK418" s="60">
        <f>IF(AN418=15,K418,0)</f>
        <v>0</v>
      </c>
      <c r="AL418" s="60">
        <f>IF(AN418=21,K418,0)</f>
        <v>0</v>
      </c>
      <c r="AN418" s="28">
        <v>21</v>
      </c>
      <c r="AO418" s="28">
        <f>J418*0.110067164423576</f>
        <v>0</v>
      </c>
      <c r="AP418" s="28">
        <f>J418*(1-0.110067164423576)</f>
        <v>0</v>
      </c>
      <c r="AQ418" s="57" t="s">
        <v>88</v>
      </c>
      <c r="AV418" s="28">
        <f>AW418+AX418</f>
        <v>0</v>
      </c>
      <c r="AW418" s="28">
        <f>I418*AO418</f>
        <v>0</v>
      </c>
      <c r="AX418" s="28">
        <f>I418*AP418</f>
        <v>0</v>
      </c>
      <c r="AY418" s="59" t="s">
        <v>944</v>
      </c>
      <c r="AZ418" s="59" t="s">
        <v>963</v>
      </c>
      <c r="BA418" s="56" t="s">
        <v>966</v>
      </c>
      <c r="BC418" s="28">
        <f>AW418+AX418</f>
        <v>0</v>
      </c>
      <c r="BD418" s="28">
        <f>J418/(100-BE418)*100</f>
        <v>0</v>
      </c>
      <c r="BE418" s="28">
        <v>0</v>
      </c>
      <c r="BF418" s="28">
        <f>418</f>
        <v>418</v>
      </c>
      <c r="BH418" s="60">
        <f>I418*AO418</f>
        <v>0</v>
      </c>
      <c r="BI418" s="60">
        <f>I418*AP418</f>
        <v>0</v>
      </c>
      <c r="BJ418" s="60">
        <f>I418*J418</f>
        <v>0</v>
      </c>
      <c r="BK418" s="60" t="s">
        <v>971</v>
      </c>
      <c r="BL418" s="28">
        <v>784</v>
      </c>
    </row>
    <row r="419" spans="1:64" x14ac:dyDescent="0.25">
      <c r="A419" s="17"/>
      <c r="C419" s="148" t="s">
        <v>817</v>
      </c>
      <c r="D419" s="149"/>
      <c r="E419" s="149"/>
      <c r="F419" s="149"/>
      <c r="G419" s="149"/>
      <c r="I419" s="77">
        <v>412.04599999999999</v>
      </c>
      <c r="L419" s="14"/>
      <c r="M419" s="17"/>
    </row>
    <row r="420" spans="1:64" x14ac:dyDescent="0.25">
      <c r="A420" s="17"/>
      <c r="C420" s="148" t="s">
        <v>818</v>
      </c>
      <c r="D420" s="149"/>
      <c r="E420" s="149"/>
      <c r="F420" s="149"/>
      <c r="G420" s="149"/>
      <c r="I420" s="77">
        <v>152.88800000000001</v>
      </c>
      <c r="L420" s="14"/>
      <c r="M420" s="17"/>
    </row>
    <row r="421" spans="1:64" x14ac:dyDescent="0.25">
      <c r="A421" s="17"/>
      <c r="C421" s="148" t="s">
        <v>575</v>
      </c>
      <c r="D421" s="149"/>
      <c r="E421" s="149"/>
      <c r="F421" s="149"/>
      <c r="G421" s="149"/>
      <c r="I421" s="77">
        <v>186.30600000000001</v>
      </c>
      <c r="L421" s="14"/>
      <c r="M421" s="17"/>
    </row>
    <row r="422" spans="1:64" x14ac:dyDescent="0.25">
      <c r="A422" s="17"/>
      <c r="C422" s="148" t="s">
        <v>820</v>
      </c>
      <c r="D422" s="149"/>
      <c r="E422" s="149"/>
      <c r="F422" s="149"/>
      <c r="G422" s="149"/>
      <c r="I422" s="77">
        <v>11.5</v>
      </c>
      <c r="L422" s="14"/>
      <c r="M422" s="17"/>
    </row>
    <row r="423" spans="1:64" x14ac:dyDescent="0.25">
      <c r="A423" s="17"/>
      <c r="C423" s="148" t="s">
        <v>821</v>
      </c>
      <c r="D423" s="149"/>
      <c r="E423" s="149"/>
      <c r="F423" s="149"/>
      <c r="G423" s="149"/>
      <c r="I423" s="77">
        <v>38.573</v>
      </c>
      <c r="L423" s="14"/>
      <c r="M423" s="17"/>
    </row>
    <row r="424" spans="1:64" x14ac:dyDescent="0.25">
      <c r="A424" s="17"/>
      <c r="C424" s="148" t="s">
        <v>822</v>
      </c>
      <c r="D424" s="149"/>
      <c r="E424" s="149"/>
      <c r="F424" s="149"/>
      <c r="G424" s="149"/>
      <c r="I424" s="77">
        <v>75.67</v>
      </c>
      <c r="L424" s="14"/>
      <c r="M424" s="17"/>
    </row>
    <row r="425" spans="1:64" x14ac:dyDescent="0.25">
      <c r="A425" s="17"/>
      <c r="C425" s="148" t="s">
        <v>823</v>
      </c>
      <c r="D425" s="149"/>
      <c r="E425" s="149"/>
      <c r="F425" s="149"/>
      <c r="G425" s="149"/>
      <c r="I425" s="77">
        <v>61.32</v>
      </c>
      <c r="L425" s="14"/>
      <c r="M425" s="17"/>
    </row>
    <row r="426" spans="1:64" x14ac:dyDescent="0.25">
      <c r="A426" s="17"/>
      <c r="C426" s="148" t="s">
        <v>824</v>
      </c>
      <c r="D426" s="149"/>
      <c r="E426" s="149"/>
      <c r="F426" s="149"/>
      <c r="G426" s="149"/>
      <c r="I426" s="77">
        <v>45.08</v>
      </c>
      <c r="L426" s="14"/>
      <c r="M426" s="17"/>
    </row>
    <row r="427" spans="1:64" x14ac:dyDescent="0.25">
      <c r="A427" s="33"/>
      <c r="B427" s="40" t="s">
        <v>171</v>
      </c>
      <c r="C427" s="144" t="s">
        <v>825</v>
      </c>
      <c r="D427" s="145"/>
      <c r="E427" s="145"/>
      <c r="F427" s="145"/>
      <c r="G427" s="145"/>
      <c r="H427" s="46" t="s">
        <v>58</v>
      </c>
      <c r="I427" s="46" t="s">
        <v>58</v>
      </c>
      <c r="J427" s="46" t="s">
        <v>58</v>
      </c>
      <c r="K427" s="65">
        <f>SUM(K428:K428)</f>
        <v>0</v>
      </c>
      <c r="L427" s="52"/>
      <c r="M427" s="17"/>
      <c r="AI427" s="56" t="s">
        <v>72</v>
      </c>
      <c r="AS427" s="65">
        <f>SUM(AJ428:AJ428)</f>
        <v>0</v>
      </c>
      <c r="AT427" s="65">
        <f>SUM(AK428:AK428)</f>
        <v>0</v>
      </c>
      <c r="AU427" s="65">
        <f>SUM(AL428:AL428)</f>
        <v>0</v>
      </c>
    </row>
    <row r="428" spans="1:64" x14ac:dyDescent="0.25">
      <c r="A428" s="34" t="s">
        <v>232</v>
      </c>
      <c r="B428" s="41" t="s">
        <v>430</v>
      </c>
      <c r="C428" s="146" t="s">
        <v>826</v>
      </c>
      <c r="D428" s="147"/>
      <c r="E428" s="147"/>
      <c r="F428" s="147"/>
      <c r="G428" s="147"/>
      <c r="H428" s="41" t="s">
        <v>899</v>
      </c>
      <c r="I428" s="76">
        <f>'Stavební rozpočet'!I428</f>
        <v>80</v>
      </c>
      <c r="J428" s="60"/>
      <c r="K428" s="60">
        <f>I428*J428</f>
        <v>0</v>
      </c>
      <c r="L428" s="53" t="s">
        <v>906</v>
      </c>
      <c r="M428" s="17"/>
      <c r="Z428" s="28">
        <f>IF(AQ428="5",BJ428,0)</f>
        <v>0</v>
      </c>
      <c r="AB428" s="28">
        <f>IF(AQ428="1",BH428,0)</f>
        <v>0</v>
      </c>
      <c r="AC428" s="28">
        <f>IF(AQ428="1",BI428,0)</f>
        <v>0</v>
      </c>
      <c r="AD428" s="28">
        <f>IF(AQ428="7",BH428,0)</f>
        <v>0</v>
      </c>
      <c r="AE428" s="28">
        <f>IF(AQ428="7",BI428,0)</f>
        <v>0</v>
      </c>
      <c r="AF428" s="28">
        <f>IF(AQ428="2",BH428,0)</f>
        <v>0</v>
      </c>
      <c r="AG428" s="28">
        <f>IF(AQ428="2",BI428,0)</f>
        <v>0</v>
      </c>
      <c r="AH428" s="28">
        <f>IF(AQ428="0",BJ428,0)</f>
        <v>0</v>
      </c>
      <c r="AI428" s="56" t="s">
        <v>72</v>
      </c>
      <c r="AJ428" s="60">
        <f>IF(AN428=0,K428,0)</f>
        <v>0</v>
      </c>
      <c r="AK428" s="60">
        <f>IF(AN428=15,K428,0)</f>
        <v>0</v>
      </c>
      <c r="AL428" s="60">
        <f>IF(AN428=21,K428,0)</f>
        <v>0</v>
      </c>
      <c r="AN428" s="28">
        <v>21</v>
      </c>
      <c r="AO428" s="28">
        <f>J428*0</f>
        <v>0</v>
      </c>
      <c r="AP428" s="28">
        <f>J428*(1-0)</f>
        <v>0</v>
      </c>
      <c r="AQ428" s="57" t="s">
        <v>82</v>
      </c>
      <c r="AV428" s="28">
        <f>AW428+AX428</f>
        <v>0</v>
      </c>
      <c r="AW428" s="28">
        <f>I428*AO428</f>
        <v>0</v>
      </c>
      <c r="AX428" s="28">
        <f>I428*AP428</f>
        <v>0</v>
      </c>
      <c r="AY428" s="59" t="s">
        <v>945</v>
      </c>
      <c r="AZ428" s="59" t="s">
        <v>964</v>
      </c>
      <c r="BA428" s="56" t="s">
        <v>966</v>
      </c>
      <c r="BC428" s="28">
        <f>AW428+AX428</f>
        <v>0</v>
      </c>
      <c r="BD428" s="28">
        <f>J428/(100-BE428)*100</f>
        <v>0</v>
      </c>
      <c r="BE428" s="28">
        <v>0</v>
      </c>
      <c r="BF428" s="28">
        <f>428</f>
        <v>428</v>
      </c>
      <c r="BH428" s="60">
        <f>I428*AO428</f>
        <v>0</v>
      </c>
      <c r="BI428" s="60">
        <f>I428*AP428</f>
        <v>0</v>
      </c>
      <c r="BJ428" s="60">
        <f>I428*J428</f>
        <v>0</v>
      </c>
      <c r="BK428" s="60" t="s">
        <v>971</v>
      </c>
      <c r="BL428" s="28">
        <v>90</v>
      </c>
    </row>
    <row r="429" spans="1:64" x14ac:dyDescent="0.25">
      <c r="A429" s="33"/>
      <c r="B429" s="40" t="s">
        <v>175</v>
      </c>
      <c r="C429" s="144" t="s">
        <v>827</v>
      </c>
      <c r="D429" s="145"/>
      <c r="E429" s="145"/>
      <c r="F429" s="145"/>
      <c r="G429" s="145"/>
      <c r="H429" s="46" t="s">
        <v>58</v>
      </c>
      <c r="I429" s="46" t="s">
        <v>58</v>
      </c>
      <c r="J429" s="46" t="s">
        <v>58</v>
      </c>
      <c r="K429" s="65">
        <f>SUM(K430:K443)</f>
        <v>0</v>
      </c>
      <c r="L429" s="52"/>
      <c r="M429" s="17"/>
      <c r="AI429" s="56" t="s">
        <v>72</v>
      </c>
      <c r="AS429" s="65">
        <f>SUM(AJ430:AJ443)</f>
        <v>0</v>
      </c>
      <c r="AT429" s="65">
        <f>SUM(AK430:AK443)</f>
        <v>0</v>
      </c>
      <c r="AU429" s="65">
        <f>SUM(AL430:AL443)</f>
        <v>0</v>
      </c>
    </row>
    <row r="430" spans="1:64" x14ac:dyDescent="0.25">
      <c r="A430" s="34" t="s">
        <v>233</v>
      </c>
      <c r="B430" s="41" t="s">
        <v>431</v>
      </c>
      <c r="C430" s="146" t="s">
        <v>828</v>
      </c>
      <c r="D430" s="147"/>
      <c r="E430" s="147"/>
      <c r="F430" s="147"/>
      <c r="G430" s="147"/>
      <c r="H430" s="41" t="s">
        <v>891</v>
      </c>
      <c r="I430" s="76">
        <f>'Stavební rozpočet'!I430</f>
        <v>360.02</v>
      </c>
      <c r="J430" s="60"/>
      <c r="K430" s="60">
        <f>I430*J430</f>
        <v>0</v>
      </c>
      <c r="L430" s="53" t="s">
        <v>906</v>
      </c>
      <c r="M430" s="17"/>
      <c r="Z430" s="28">
        <f>IF(AQ430="5",BJ430,0)</f>
        <v>0</v>
      </c>
      <c r="AB430" s="28">
        <f>IF(AQ430="1",BH430,0)</f>
        <v>0</v>
      </c>
      <c r="AC430" s="28">
        <f>IF(AQ430="1",BI430,0)</f>
        <v>0</v>
      </c>
      <c r="AD430" s="28">
        <f>IF(AQ430="7",BH430,0)</f>
        <v>0</v>
      </c>
      <c r="AE430" s="28">
        <f>IF(AQ430="7",BI430,0)</f>
        <v>0</v>
      </c>
      <c r="AF430" s="28">
        <f>IF(AQ430="2",BH430,0)</f>
        <v>0</v>
      </c>
      <c r="AG430" s="28">
        <f>IF(AQ430="2",BI430,0)</f>
        <v>0</v>
      </c>
      <c r="AH430" s="28">
        <f>IF(AQ430="0",BJ430,0)</f>
        <v>0</v>
      </c>
      <c r="AI430" s="56" t="s">
        <v>72</v>
      </c>
      <c r="AJ430" s="60">
        <f>IF(AN430=0,K430,0)</f>
        <v>0</v>
      </c>
      <c r="AK430" s="60">
        <f>IF(AN430=15,K430,0)</f>
        <v>0</v>
      </c>
      <c r="AL430" s="60">
        <f>IF(AN430=21,K430,0)</f>
        <v>0</v>
      </c>
      <c r="AN430" s="28">
        <v>21</v>
      </c>
      <c r="AO430" s="28">
        <f>J430*0.330537121146175</f>
        <v>0</v>
      </c>
      <c r="AP430" s="28">
        <f>J430*(1-0.330537121146175)</f>
        <v>0</v>
      </c>
      <c r="AQ430" s="57" t="s">
        <v>82</v>
      </c>
      <c r="AV430" s="28">
        <f>AW430+AX430</f>
        <v>0</v>
      </c>
      <c r="AW430" s="28">
        <f>I430*AO430</f>
        <v>0</v>
      </c>
      <c r="AX430" s="28">
        <f>I430*AP430</f>
        <v>0</v>
      </c>
      <c r="AY430" s="59" t="s">
        <v>946</v>
      </c>
      <c r="AZ430" s="59" t="s">
        <v>964</v>
      </c>
      <c r="BA430" s="56" t="s">
        <v>966</v>
      </c>
      <c r="BC430" s="28">
        <f>AW430+AX430</f>
        <v>0</v>
      </c>
      <c r="BD430" s="28">
        <f>J430/(100-BE430)*100</f>
        <v>0</v>
      </c>
      <c r="BE430" s="28">
        <v>0</v>
      </c>
      <c r="BF430" s="28">
        <f>430</f>
        <v>430</v>
      </c>
      <c r="BH430" s="60">
        <f>I430*AO430</f>
        <v>0</v>
      </c>
      <c r="BI430" s="60">
        <f>I430*AP430</f>
        <v>0</v>
      </c>
      <c r="BJ430" s="60">
        <f>I430*J430</f>
        <v>0</v>
      </c>
      <c r="BK430" s="60" t="s">
        <v>971</v>
      </c>
      <c r="BL430" s="28">
        <v>94</v>
      </c>
    </row>
    <row r="431" spans="1:64" x14ac:dyDescent="0.25">
      <c r="A431" s="17"/>
      <c r="C431" s="148" t="s">
        <v>530</v>
      </c>
      <c r="D431" s="149"/>
      <c r="E431" s="149"/>
      <c r="F431" s="149"/>
      <c r="G431" s="149"/>
      <c r="I431" s="77">
        <v>0</v>
      </c>
      <c r="L431" s="14"/>
      <c r="M431" s="17"/>
    </row>
    <row r="432" spans="1:64" x14ac:dyDescent="0.25">
      <c r="A432" s="17"/>
      <c r="C432" s="148" t="s">
        <v>829</v>
      </c>
      <c r="D432" s="149"/>
      <c r="E432" s="149"/>
      <c r="F432" s="149"/>
      <c r="G432" s="149"/>
      <c r="I432" s="77">
        <v>5.32</v>
      </c>
      <c r="L432" s="14"/>
      <c r="M432" s="17"/>
    </row>
    <row r="433" spans="1:64" x14ac:dyDescent="0.25">
      <c r="A433" s="17"/>
      <c r="C433" s="148" t="s">
        <v>830</v>
      </c>
      <c r="D433" s="149"/>
      <c r="E433" s="149"/>
      <c r="F433" s="149"/>
      <c r="G433" s="149"/>
      <c r="I433" s="77">
        <v>92.43</v>
      </c>
      <c r="L433" s="14"/>
      <c r="M433" s="17"/>
    </row>
    <row r="434" spans="1:64" x14ac:dyDescent="0.25">
      <c r="A434" s="17"/>
      <c r="C434" s="148" t="s">
        <v>831</v>
      </c>
      <c r="D434" s="149"/>
      <c r="E434" s="149"/>
      <c r="F434" s="149"/>
      <c r="G434" s="149"/>
      <c r="I434" s="77">
        <v>5.55</v>
      </c>
      <c r="L434" s="14"/>
      <c r="M434" s="17"/>
    </row>
    <row r="435" spans="1:64" x14ac:dyDescent="0.25">
      <c r="A435" s="17"/>
      <c r="C435" s="148" t="s">
        <v>832</v>
      </c>
      <c r="D435" s="149"/>
      <c r="E435" s="149"/>
      <c r="F435" s="149"/>
      <c r="G435" s="149"/>
      <c r="I435" s="77">
        <v>63.97</v>
      </c>
      <c r="L435" s="14"/>
      <c r="M435" s="17"/>
    </row>
    <row r="436" spans="1:64" x14ac:dyDescent="0.25">
      <c r="A436" s="17"/>
      <c r="C436" s="148" t="s">
        <v>532</v>
      </c>
      <c r="D436" s="149"/>
      <c r="E436" s="149"/>
      <c r="F436" s="149"/>
      <c r="G436" s="149"/>
      <c r="I436" s="77">
        <v>0</v>
      </c>
      <c r="L436" s="14"/>
      <c r="M436" s="17"/>
    </row>
    <row r="437" spans="1:64" x14ac:dyDescent="0.25">
      <c r="A437" s="17"/>
      <c r="C437" s="148" t="s">
        <v>613</v>
      </c>
      <c r="D437" s="149"/>
      <c r="E437" s="149"/>
      <c r="F437" s="149"/>
      <c r="G437" s="149"/>
      <c r="I437" s="77">
        <v>122.33</v>
      </c>
      <c r="L437" s="14"/>
      <c r="M437" s="17"/>
    </row>
    <row r="438" spans="1:64" x14ac:dyDescent="0.25">
      <c r="A438" s="17"/>
      <c r="C438" s="148" t="s">
        <v>833</v>
      </c>
      <c r="D438" s="149"/>
      <c r="E438" s="149"/>
      <c r="F438" s="149"/>
      <c r="G438" s="149"/>
      <c r="I438" s="77">
        <v>70.42</v>
      </c>
      <c r="J438" s="84"/>
      <c r="L438" s="14"/>
      <c r="M438" s="17"/>
    </row>
    <row r="439" spans="1:64" x14ac:dyDescent="0.25">
      <c r="A439" s="34" t="s">
        <v>234</v>
      </c>
      <c r="B439" s="41" t="s">
        <v>432</v>
      </c>
      <c r="C439" s="146" t="s">
        <v>834</v>
      </c>
      <c r="D439" s="147"/>
      <c r="E439" s="147"/>
      <c r="F439" s="147"/>
      <c r="G439" s="147"/>
      <c r="H439" s="41" t="s">
        <v>891</v>
      </c>
      <c r="I439" s="76">
        <f>'Stavební rozpočet'!I439</f>
        <v>257.10000000000002</v>
      </c>
      <c r="J439" s="60"/>
      <c r="K439" s="60">
        <f>I439*J439</f>
        <v>0</v>
      </c>
      <c r="L439" s="53" t="s">
        <v>906</v>
      </c>
      <c r="M439" s="17"/>
      <c r="Z439" s="28">
        <f>IF(AQ439="5",BJ439,0)</f>
        <v>0</v>
      </c>
      <c r="AB439" s="28">
        <f>IF(AQ439="1",BH439,0)</f>
        <v>0</v>
      </c>
      <c r="AC439" s="28">
        <f>IF(AQ439="1",BI439,0)</f>
        <v>0</v>
      </c>
      <c r="AD439" s="28">
        <f>IF(AQ439="7",BH439,0)</f>
        <v>0</v>
      </c>
      <c r="AE439" s="28">
        <f>IF(AQ439="7",BI439,0)</f>
        <v>0</v>
      </c>
      <c r="AF439" s="28">
        <f>IF(AQ439="2",BH439,0)</f>
        <v>0</v>
      </c>
      <c r="AG439" s="28">
        <f>IF(AQ439="2",BI439,0)</f>
        <v>0</v>
      </c>
      <c r="AH439" s="28">
        <f>IF(AQ439="0",BJ439,0)</f>
        <v>0</v>
      </c>
      <c r="AI439" s="56" t="s">
        <v>72</v>
      </c>
      <c r="AJ439" s="60">
        <f>IF(AN439=0,K439,0)</f>
        <v>0</v>
      </c>
      <c r="AK439" s="60">
        <f>IF(AN439=15,K439,0)</f>
        <v>0</v>
      </c>
      <c r="AL439" s="60">
        <f>IF(AN439=21,K439,0)</f>
        <v>0</v>
      </c>
      <c r="AN439" s="28">
        <v>21</v>
      </c>
      <c r="AO439" s="28">
        <f>J439*0.000437316792443202</f>
        <v>0</v>
      </c>
      <c r="AP439" s="28">
        <f>J439*(1-0.000437316792443202)</f>
        <v>0</v>
      </c>
      <c r="AQ439" s="57" t="s">
        <v>82</v>
      </c>
      <c r="AV439" s="28">
        <f>AW439+AX439</f>
        <v>0</v>
      </c>
      <c r="AW439" s="28">
        <f>I439*AO439</f>
        <v>0</v>
      </c>
      <c r="AX439" s="28">
        <f>I439*AP439</f>
        <v>0</v>
      </c>
      <c r="AY439" s="59" t="s">
        <v>946</v>
      </c>
      <c r="AZ439" s="59" t="s">
        <v>964</v>
      </c>
      <c r="BA439" s="56" t="s">
        <v>966</v>
      </c>
      <c r="BC439" s="28">
        <f>AW439+AX439</f>
        <v>0</v>
      </c>
      <c r="BD439" s="28">
        <f>J439/(100-BE439)*100</f>
        <v>0</v>
      </c>
      <c r="BE439" s="28">
        <v>0</v>
      </c>
      <c r="BF439" s="28">
        <f>439</f>
        <v>439</v>
      </c>
      <c r="BH439" s="60">
        <f>I439*AO439</f>
        <v>0</v>
      </c>
      <c r="BI439" s="60">
        <f>I439*AP439</f>
        <v>0</v>
      </c>
      <c r="BJ439" s="60">
        <f>I439*J439</f>
        <v>0</v>
      </c>
      <c r="BK439" s="60" t="s">
        <v>971</v>
      </c>
      <c r="BL439" s="28">
        <v>94</v>
      </c>
    </row>
    <row r="440" spans="1:64" x14ac:dyDescent="0.25">
      <c r="A440" s="17"/>
      <c r="C440" s="148" t="s">
        <v>835</v>
      </c>
      <c r="D440" s="149"/>
      <c r="E440" s="149"/>
      <c r="F440" s="149"/>
      <c r="G440" s="149"/>
      <c r="I440" s="77">
        <v>257.10000000000002</v>
      </c>
      <c r="J440" s="84"/>
      <c r="L440" s="14"/>
      <c r="M440" s="17"/>
    </row>
    <row r="441" spans="1:64" x14ac:dyDescent="0.25">
      <c r="A441" s="34" t="s">
        <v>235</v>
      </c>
      <c r="B441" s="41" t="s">
        <v>433</v>
      </c>
      <c r="C441" s="146" t="s">
        <v>836</v>
      </c>
      <c r="D441" s="147"/>
      <c r="E441" s="147"/>
      <c r="F441" s="147"/>
      <c r="G441" s="147"/>
      <c r="H441" s="41" t="s">
        <v>891</v>
      </c>
      <c r="I441" s="76">
        <f>'Stavební rozpočet'!I441</f>
        <v>514.20000000000005</v>
      </c>
      <c r="J441" s="60"/>
      <c r="K441" s="60">
        <f>I441*J441</f>
        <v>0</v>
      </c>
      <c r="L441" s="53" t="s">
        <v>906</v>
      </c>
      <c r="M441" s="17"/>
      <c r="Z441" s="28">
        <f>IF(AQ441="5",BJ441,0)</f>
        <v>0</v>
      </c>
      <c r="AB441" s="28">
        <f>IF(AQ441="1",BH441,0)</f>
        <v>0</v>
      </c>
      <c r="AC441" s="28">
        <f>IF(AQ441="1",BI441,0)</f>
        <v>0</v>
      </c>
      <c r="AD441" s="28">
        <f>IF(AQ441="7",BH441,0)</f>
        <v>0</v>
      </c>
      <c r="AE441" s="28">
        <f>IF(AQ441="7",BI441,0)</f>
        <v>0</v>
      </c>
      <c r="AF441" s="28">
        <f>IF(AQ441="2",BH441,0)</f>
        <v>0</v>
      </c>
      <c r="AG441" s="28">
        <f>IF(AQ441="2",BI441,0)</f>
        <v>0</v>
      </c>
      <c r="AH441" s="28">
        <f>IF(AQ441="0",BJ441,0)</f>
        <v>0</v>
      </c>
      <c r="AI441" s="56" t="s">
        <v>72</v>
      </c>
      <c r="AJ441" s="60">
        <f>IF(AN441=0,K441,0)</f>
        <v>0</v>
      </c>
      <c r="AK441" s="60">
        <f>IF(AN441=15,K441,0)</f>
        <v>0</v>
      </c>
      <c r="AL441" s="60">
        <f>IF(AN441=21,K441,0)</f>
        <v>0</v>
      </c>
      <c r="AN441" s="28">
        <v>21</v>
      </c>
      <c r="AO441" s="28">
        <f>J441*0.921156142866048</f>
        <v>0</v>
      </c>
      <c r="AP441" s="28">
        <f>J441*(1-0.921156142866048)</f>
        <v>0</v>
      </c>
      <c r="AQ441" s="57" t="s">
        <v>82</v>
      </c>
      <c r="AV441" s="28">
        <f>AW441+AX441</f>
        <v>0</v>
      </c>
      <c r="AW441" s="28">
        <f>I441*AO441</f>
        <v>0</v>
      </c>
      <c r="AX441" s="28">
        <f>I441*AP441</f>
        <v>0</v>
      </c>
      <c r="AY441" s="59" t="s">
        <v>946</v>
      </c>
      <c r="AZ441" s="59" t="s">
        <v>964</v>
      </c>
      <c r="BA441" s="56" t="s">
        <v>966</v>
      </c>
      <c r="BC441" s="28">
        <f>AW441+AX441</f>
        <v>0</v>
      </c>
      <c r="BD441" s="28">
        <f>J441/(100-BE441)*100</f>
        <v>0</v>
      </c>
      <c r="BE441" s="28">
        <v>0</v>
      </c>
      <c r="BF441" s="28">
        <f>441</f>
        <v>441</v>
      </c>
      <c r="BH441" s="60">
        <f>I441*AO441</f>
        <v>0</v>
      </c>
      <c r="BI441" s="60">
        <f>I441*AP441</f>
        <v>0</v>
      </c>
      <c r="BJ441" s="60">
        <f>I441*J441</f>
        <v>0</v>
      </c>
      <c r="BK441" s="60" t="s">
        <v>971</v>
      </c>
      <c r="BL441" s="28">
        <v>94</v>
      </c>
    </row>
    <row r="442" spans="1:64" x14ac:dyDescent="0.25">
      <c r="A442" s="17"/>
      <c r="C442" s="148" t="s">
        <v>837</v>
      </c>
      <c r="D442" s="149"/>
      <c r="E442" s="149"/>
      <c r="F442" s="149"/>
      <c r="G442" s="149"/>
      <c r="I442" s="77">
        <v>514.20000000000005</v>
      </c>
      <c r="J442" s="84"/>
      <c r="L442" s="14"/>
      <c r="M442" s="17"/>
    </row>
    <row r="443" spans="1:64" x14ac:dyDescent="0.25">
      <c r="A443" s="34" t="s">
        <v>236</v>
      </c>
      <c r="B443" s="41" t="s">
        <v>434</v>
      </c>
      <c r="C443" s="146" t="s">
        <v>838</v>
      </c>
      <c r="D443" s="147"/>
      <c r="E443" s="147"/>
      <c r="F443" s="147"/>
      <c r="G443" s="147"/>
      <c r="H443" s="41" t="s">
        <v>891</v>
      </c>
      <c r="I443" s="76">
        <f>'Stavební rozpočet'!I443</f>
        <v>257.10000000000002</v>
      </c>
      <c r="J443" s="60"/>
      <c r="K443" s="60">
        <f>I443*J443</f>
        <v>0</v>
      </c>
      <c r="L443" s="53" t="s">
        <v>906</v>
      </c>
      <c r="M443" s="17"/>
      <c r="Z443" s="28">
        <f>IF(AQ443="5",BJ443,0)</f>
        <v>0</v>
      </c>
      <c r="AB443" s="28">
        <f>IF(AQ443="1",BH443,0)</f>
        <v>0</v>
      </c>
      <c r="AC443" s="28">
        <f>IF(AQ443="1",BI443,0)</f>
        <v>0</v>
      </c>
      <c r="AD443" s="28">
        <f>IF(AQ443="7",BH443,0)</f>
        <v>0</v>
      </c>
      <c r="AE443" s="28">
        <f>IF(AQ443="7",BI443,0)</f>
        <v>0</v>
      </c>
      <c r="AF443" s="28">
        <f>IF(AQ443="2",BH443,0)</f>
        <v>0</v>
      </c>
      <c r="AG443" s="28">
        <f>IF(AQ443="2",BI443,0)</f>
        <v>0</v>
      </c>
      <c r="AH443" s="28">
        <f>IF(AQ443="0",BJ443,0)</f>
        <v>0</v>
      </c>
      <c r="AI443" s="56" t="s">
        <v>72</v>
      </c>
      <c r="AJ443" s="60">
        <f>IF(AN443=0,K443,0)</f>
        <v>0</v>
      </c>
      <c r="AK443" s="60">
        <f>IF(AN443=15,K443,0)</f>
        <v>0</v>
      </c>
      <c r="AL443" s="60">
        <f>IF(AN443=21,K443,0)</f>
        <v>0</v>
      </c>
      <c r="AN443" s="28">
        <v>21</v>
      </c>
      <c r="AO443" s="28">
        <f>J443*0</f>
        <v>0</v>
      </c>
      <c r="AP443" s="28">
        <f>J443*(1-0)</f>
        <v>0</v>
      </c>
      <c r="AQ443" s="57" t="s">
        <v>82</v>
      </c>
      <c r="AV443" s="28">
        <f>AW443+AX443</f>
        <v>0</v>
      </c>
      <c r="AW443" s="28">
        <f>I443*AO443</f>
        <v>0</v>
      </c>
      <c r="AX443" s="28">
        <f>I443*AP443</f>
        <v>0</v>
      </c>
      <c r="AY443" s="59" t="s">
        <v>946</v>
      </c>
      <c r="AZ443" s="59" t="s">
        <v>964</v>
      </c>
      <c r="BA443" s="56" t="s">
        <v>966</v>
      </c>
      <c r="BC443" s="28">
        <f>AW443+AX443</f>
        <v>0</v>
      </c>
      <c r="BD443" s="28">
        <f>J443/(100-BE443)*100</f>
        <v>0</v>
      </c>
      <c r="BE443" s="28">
        <v>0</v>
      </c>
      <c r="BF443" s="28">
        <f>443</f>
        <v>443</v>
      </c>
      <c r="BH443" s="60">
        <f>I443*AO443</f>
        <v>0</v>
      </c>
      <c r="BI443" s="60">
        <f>I443*AP443</f>
        <v>0</v>
      </c>
      <c r="BJ443" s="60">
        <f>I443*J443</f>
        <v>0</v>
      </c>
      <c r="BK443" s="60" t="s">
        <v>971</v>
      </c>
      <c r="BL443" s="28">
        <v>94</v>
      </c>
    </row>
    <row r="444" spans="1:64" x14ac:dyDescent="0.25">
      <c r="A444" s="33"/>
      <c r="B444" s="40" t="s">
        <v>176</v>
      </c>
      <c r="C444" s="144" t="s">
        <v>839</v>
      </c>
      <c r="D444" s="145"/>
      <c r="E444" s="145"/>
      <c r="F444" s="145"/>
      <c r="G444" s="145"/>
      <c r="H444" s="46" t="s">
        <v>58</v>
      </c>
      <c r="I444" s="46" t="s">
        <v>58</v>
      </c>
      <c r="J444" s="46" t="s">
        <v>58</v>
      </c>
      <c r="K444" s="65">
        <f>SUM(K445:K454)</f>
        <v>0</v>
      </c>
      <c r="L444" s="52"/>
      <c r="M444" s="17"/>
      <c r="AI444" s="56" t="s">
        <v>72</v>
      </c>
      <c r="AS444" s="65">
        <f>SUM(AJ445:AJ454)</f>
        <v>0</v>
      </c>
      <c r="AT444" s="65">
        <f>SUM(AK445:AK454)</f>
        <v>0</v>
      </c>
      <c r="AU444" s="65">
        <f>SUM(AL445:AL454)</f>
        <v>0</v>
      </c>
    </row>
    <row r="445" spans="1:64" x14ac:dyDescent="0.25">
      <c r="A445" s="34" t="s">
        <v>237</v>
      </c>
      <c r="B445" s="41" t="s">
        <v>435</v>
      </c>
      <c r="C445" s="146" t="s">
        <v>840</v>
      </c>
      <c r="D445" s="147"/>
      <c r="E445" s="147"/>
      <c r="F445" s="147"/>
      <c r="G445" s="147"/>
      <c r="H445" s="41" t="s">
        <v>891</v>
      </c>
      <c r="I445" s="76">
        <f>'Stavební rozpočet'!I445</f>
        <v>360.02</v>
      </c>
      <c r="J445" s="60"/>
      <c r="K445" s="60">
        <f>I445*J445</f>
        <v>0</v>
      </c>
      <c r="L445" s="53" t="s">
        <v>906</v>
      </c>
      <c r="M445" s="17"/>
      <c r="Z445" s="28">
        <f>IF(AQ445="5",BJ445,0)</f>
        <v>0</v>
      </c>
      <c r="AB445" s="28">
        <f>IF(AQ445="1",BH445,0)</f>
        <v>0</v>
      </c>
      <c r="AC445" s="28">
        <f>IF(AQ445="1",BI445,0)</f>
        <v>0</v>
      </c>
      <c r="AD445" s="28">
        <f>IF(AQ445="7",BH445,0)</f>
        <v>0</v>
      </c>
      <c r="AE445" s="28">
        <f>IF(AQ445="7",BI445,0)</f>
        <v>0</v>
      </c>
      <c r="AF445" s="28">
        <f>IF(AQ445="2",BH445,0)</f>
        <v>0</v>
      </c>
      <c r="AG445" s="28">
        <f>IF(AQ445="2",BI445,0)</f>
        <v>0</v>
      </c>
      <c r="AH445" s="28">
        <f>IF(AQ445="0",BJ445,0)</f>
        <v>0</v>
      </c>
      <c r="AI445" s="56" t="s">
        <v>72</v>
      </c>
      <c r="AJ445" s="60">
        <f>IF(AN445=0,K445,0)</f>
        <v>0</v>
      </c>
      <c r="AK445" s="60">
        <f>IF(AN445=15,K445,0)</f>
        <v>0</v>
      </c>
      <c r="AL445" s="60">
        <f>IF(AN445=21,K445,0)</f>
        <v>0</v>
      </c>
      <c r="AN445" s="28">
        <v>21</v>
      </c>
      <c r="AO445" s="28">
        <f>J445*0</f>
        <v>0</v>
      </c>
      <c r="AP445" s="28">
        <f>J445*(1-0)</f>
        <v>0</v>
      </c>
      <c r="AQ445" s="57" t="s">
        <v>82</v>
      </c>
      <c r="AV445" s="28">
        <f>AW445+AX445</f>
        <v>0</v>
      </c>
      <c r="AW445" s="28">
        <f>I445*AO445</f>
        <v>0</v>
      </c>
      <c r="AX445" s="28">
        <f>I445*AP445</f>
        <v>0</v>
      </c>
      <c r="AY445" s="59" t="s">
        <v>947</v>
      </c>
      <c r="AZ445" s="59" t="s">
        <v>964</v>
      </c>
      <c r="BA445" s="56" t="s">
        <v>966</v>
      </c>
      <c r="BC445" s="28">
        <f>AW445+AX445</f>
        <v>0</v>
      </c>
      <c r="BD445" s="28">
        <f>J445/(100-BE445)*100</f>
        <v>0</v>
      </c>
      <c r="BE445" s="28">
        <v>0</v>
      </c>
      <c r="BF445" s="28">
        <f>445</f>
        <v>445</v>
      </c>
      <c r="BH445" s="60">
        <f>I445*AO445</f>
        <v>0</v>
      </c>
      <c r="BI445" s="60">
        <f>I445*AP445</f>
        <v>0</v>
      </c>
      <c r="BJ445" s="60">
        <f>I445*J445</f>
        <v>0</v>
      </c>
      <c r="BK445" s="60" t="s">
        <v>971</v>
      </c>
      <c r="BL445" s="28">
        <v>95</v>
      </c>
    </row>
    <row r="446" spans="1:64" x14ac:dyDescent="0.25">
      <c r="A446" s="17"/>
      <c r="C446" s="148" t="s">
        <v>530</v>
      </c>
      <c r="D446" s="149"/>
      <c r="E446" s="149"/>
      <c r="F446" s="149"/>
      <c r="G446" s="149"/>
      <c r="I446" s="77">
        <v>0</v>
      </c>
      <c r="J446" s="84"/>
      <c r="L446" s="14"/>
      <c r="M446" s="17"/>
    </row>
    <row r="447" spans="1:64" x14ac:dyDescent="0.25">
      <c r="A447" s="17"/>
      <c r="C447" s="148" t="s">
        <v>829</v>
      </c>
      <c r="D447" s="149"/>
      <c r="E447" s="149"/>
      <c r="F447" s="149"/>
      <c r="G447" s="149"/>
      <c r="I447" s="77">
        <v>5.32</v>
      </c>
      <c r="J447" s="84"/>
      <c r="L447" s="14"/>
      <c r="M447" s="17"/>
    </row>
    <row r="448" spans="1:64" x14ac:dyDescent="0.25">
      <c r="A448" s="17"/>
      <c r="C448" s="148" t="s">
        <v>830</v>
      </c>
      <c r="D448" s="149"/>
      <c r="E448" s="149"/>
      <c r="F448" s="149"/>
      <c r="G448" s="149"/>
      <c r="I448" s="77">
        <v>92.43</v>
      </c>
      <c r="J448" s="84"/>
      <c r="L448" s="14"/>
      <c r="M448" s="17"/>
    </row>
    <row r="449" spans="1:64" x14ac:dyDescent="0.25">
      <c r="A449" s="17"/>
      <c r="C449" s="148" t="s">
        <v>831</v>
      </c>
      <c r="D449" s="149"/>
      <c r="E449" s="149"/>
      <c r="F449" s="149"/>
      <c r="G449" s="149"/>
      <c r="I449" s="77">
        <v>5.55</v>
      </c>
      <c r="J449" s="84"/>
      <c r="L449" s="14"/>
      <c r="M449" s="17"/>
    </row>
    <row r="450" spans="1:64" x14ac:dyDescent="0.25">
      <c r="A450" s="17"/>
      <c r="C450" s="148" t="s">
        <v>832</v>
      </c>
      <c r="D450" s="149"/>
      <c r="E450" s="149"/>
      <c r="F450" s="149"/>
      <c r="G450" s="149"/>
      <c r="I450" s="77">
        <v>63.97</v>
      </c>
      <c r="J450" s="84"/>
      <c r="L450" s="14"/>
      <c r="M450" s="17"/>
    </row>
    <row r="451" spans="1:64" x14ac:dyDescent="0.25">
      <c r="A451" s="17"/>
      <c r="C451" s="148" t="s">
        <v>532</v>
      </c>
      <c r="D451" s="149"/>
      <c r="E451" s="149"/>
      <c r="F451" s="149"/>
      <c r="G451" s="149"/>
      <c r="I451" s="77">
        <v>0</v>
      </c>
      <c r="J451" s="84"/>
      <c r="L451" s="14"/>
      <c r="M451" s="17"/>
    </row>
    <row r="452" spans="1:64" x14ac:dyDescent="0.25">
      <c r="A452" s="17"/>
      <c r="C452" s="148" t="s">
        <v>613</v>
      </c>
      <c r="D452" s="149"/>
      <c r="E452" s="149"/>
      <c r="F452" s="149"/>
      <c r="G452" s="149"/>
      <c r="I452" s="77">
        <v>122.33</v>
      </c>
      <c r="J452" s="84"/>
      <c r="L452" s="14"/>
      <c r="M452" s="17"/>
    </row>
    <row r="453" spans="1:64" x14ac:dyDescent="0.25">
      <c r="A453" s="17"/>
      <c r="C453" s="148" t="s">
        <v>833</v>
      </c>
      <c r="D453" s="149"/>
      <c r="E453" s="149"/>
      <c r="F453" s="149"/>
      <c r="G453" s="149"/>
      <c r="I453" s="77">
        <v>70.42</v>
      </c>
      <c r="J453" s="84"/>
      <c r="L453" s="14"/>
      <c r="M453" s="17"/>
    </row>
    <row r="454" spans="1:64" x14ac:dyDescent="0.25">
      <c r="A454" s="34" t="s">
        <v>238</v>
      </c>
      <c r="B454" s="41" t="s">
        <v>436</v>
      </c>
      <c r="C454" s="146" t="s">
        <v>841</v>
      </c>
      <c r="D454" s="147"/>
      <c r="E454" s="147"/>
      <c r="F454" s="147"/>
      <c r="G454" s="147"/>
      <c r="H454" s="41" t="s">
        <v>891</v>
      </c>
      <c r="I454" s="76">
        <f>'Stavební rozpočet'!I454</f>
        <v>360.02</v>
      </c>
      <c r="J454" s="60"/>
      <c r="K454" s="60">
        <f>I454*J454</f>
        <v>0</v>
      </c>
      <c r="L454" s="53" t="s">
        <v>906</v>
      </c>
      <c r="M454" s="17"/>
      <c r="Z454" s="28">
        <f>IF(AQ454="5",BJ454,0)</f>
        <v>0</v>
      </c>
      <c r="AB454" s="28">
        <f>IF(AQ454="1",BH454,0)</f>
        <v>0</v>
      </c>
      <c r="AC454" s="28">
        <f>IF(AQ454="1",BI454,0)</f>
        <v>0</v>
      </c>
      <c r="AD454" s="28">
        <f>IF(AQ454="7",BH454,0)</f>
        <v>0</v>
      </c>
      <c r="AE454" s="28">
        <f>IF(AQ454="7",BI454,0)</f>
        <v>0</v>
      </c>
      <c r="AF454" s="28">
        <f>IF(AQ454="2",BH454,0)</f>
        <v>0</v>
      </c>
      <c r="AG454" s="28">
        <f>IF(AQ454="2",BI454,0)</f>
        <v>0</v>
      </c>
      <c r="AH454" s="28">
        <f>IF(AQ454="0",BJ454,0)</f>
        <v>0</v>
      </c>
      <c r="AI454" s="56" t="s">
        <v>72</v>
      </c>
      <c r="AJ454" s="60">
        <f>IF(AN454=0,K454,0)</f>
        <v>0</v>
      </c>
      <c r="AK454" s="60">
        <f>IF(AN454=15,K454,0)</f>
        <v>0</v>
      </c>
      <c r="AL454" s="60">
        <f>IF(AN454=21,K454,0)</f>
        <v>0</v>
      </c>
      <c r="AN454" s="28">
        <v>21</v>
      </c>
      <c r="AO454" s="28">
        <f>J454*0.0121518901890189</f>
        <v>0</v>
      </c>
      <c r="AP454" s="28">
        <f>J454*(1-0.0121518901890189)</f>
        <v>0</v>
      </c>
      <c r="AQ454" s="57" t="s">
        <v>82</v>
      </c>
      <c r="AV454" s="28">
        <f>AW454+AX454</f>
        <v>0</v>
      </c>
      <c r="AW454" s="28">
        <f>I454*AO454</f>
        <v>0</v>
      </c>
      <c r="AX454" s="28">
        <f>I454*AP454</f>
        <v>0</v>
      </c>
      <c r="AY454" s="59" t="s">
        <v>947</v>
      </c>
      <c r="AZ454" s="59" t="s">
        <v>964</v>
      </c>
      <c r="BA454" s="56" t="s">
        <v>966</v>
      </c>
      <c r="BC454" s="28">
        <f>AW454+AX454</f>
        <v>0</v>
      </c>
      <c r="BD454" s="28">
        <f>J454/(100-BE454)*100</f>
        <v>0</v>
      </c>
      <c r="BE454" s="28">
        <v>0</v>
      </c>
      <c r="BF454" s="28">
        <f>454</f>
        <v>454</v>
      </c>
      <c r="BH454" s="60">
        <f>I454*AO454</f>
        <v>0</v>
      </c>
      <c r="BI454" s="60">
        <f>I454*AP454</f>
        <v>0</v>
      </c>
      <c r="BJ454" s="60">
        <f>I454*J454</f>
        <v>0</v>
      </c>
      <c r="BK454" s="60" t="s">
        <v>971</v>
      </c>
      <c r="BL454" s="28">
        <v>95</v>
      </c>
    </row>
    <row r="455" spans="1:64" x14ac:dyDescent="0.25">
      <c r="A455" s="17"/>
      <c r="C455" s="148" t="s">
        <v>530</v>
      </c>
      <c r="D455" s="149"/>
      <c r="E455" s="149"/>
      <c r="F455" s="149"/>
      <c r="G455" s="149"/>
      <c r="I455" s="77">
        <v>0</v>
      </c>
      <c r="J455" s="84"/>
      <c r="L455" s="14"/>
      <c r="M455" s="17"/>
    </row>
    <row r="456" spans="1:64" x14ac:dyDescent="0.25">
      <c r="A456" s="17"/>
      <c r="C456" s="148" t="s">
        <v>829</v>
      </c>
      <c r="D456" s="149"/>
      <c r="E456" s="149"/>
      <c r="F456" s="149"/>
      <c r="G456" s="149"/>
      <c r="I456" s="77">
        <v>5.32</v>
      </c>
      <c r="J456" s="84"/>
      <c r="L456" s="14"/>
      <c r="M456" s="17"/>
    </row>
    <row r="457" spans="1:64" x14ac:dyDescent="0.25">
      <c r="A457" s="17"/>
      <c r="C457" s="148" t="s">
        <v>830</v>
      </c>
      <c r="D457" s="149"/>
      <c r="E457" s="149"/>
      <c r="F457" s="149"/>
      <c r="G457" s="149"/>
      <c r="I457" s="77">
        <v>92.43</v>
      </c>
      <c r="J457" s="84"/>
      <c r="L457" s="14"/>
      <c r="M457" s="17"/>
    </row>
    <row r="458" spans="1:64" x14ac:dyDescent="0.25">
      <c r="A458" s="17"/>
      <c r="C458" s="148" t="s">
        <v>831</v>
      </c>
      <c r="D458" s="149"/>
      <c r="E458" s="149"/>
      <c r="F458" s="149"/>
      <c r="G458" s="149"/>
      <c r="I458" s="77">
        <v>5.55</v>
      </c>
      <c r="J458" s="84"/>
      <c r="L458" s="14"/>
      <c r="M458" s="17"/>
    </row>
    <row r="459" spans="1:64" x14ac:dyDescent="0.25">
      <c r="A459" s="17"/>
      <c r="C459" s="148" t="s">
        <v>832</v>
      </c>
      <c r="D459" s="149"/>
      <c r="E459" s="149"/>
      <c r="F459" s="149"/>
      <c r="G459" s="149"/>
      <c r="I459" s="77">
        <v>63.97</v>
      </c>
      <c r="J459" s="84"/>
      <c r="L459" s="14"/>
      <c r="M459" s="17"/>
    </row>
    <row r="460" spans="1:64" x14ac:dyDescent="0.25">
      <c r="A460" s="17"/>
      <c r="C460" s="148" t="s">
        <v>532</v>
      </c>
      <c r="D460" s="149"/>
      <c r="E460" s="149"/>
      <c r="F460" s="149"/>
      <c r="G460" s="149"/>
      <c r="I460" s="77">
        <v>0</v>
      </c>
      <c r="L460" s="14"/>
      <c r="M460" s="17"/>
    </row>
    <row r="461" spans="1:64" x14ac:dyDescent="0.25">
      <c r="A461" s="17"/>
      <c r="C461" s="148" t="s">
        <v>613</v>
      </c>
      <c r="D461" s="149"/>
      <c r="E461" s="149"/>
      <c r="F461" s="149"/>
      <c r="G461" s="149"/>
      <c r="I461" s="77">
        <v>122.33</v>
      </c>
      <c r="L461" s="14"/>
      <c r="M461" s="17"/>
    </row>
    <row r="462" spans="1:64" x14ac:dyDescent="0.25">
      <c r="A462" s="17"/>
      <c r="C462" s="148" t="s">
        <v>833</v>
      </c>
      <c r="D462" s="149"/>
      <c r="E462" s="149"/>
      <c r="F462" s="149"/>
      <c r="G462" s="149"/>
      <c r="I462" s="77">
        <v>70.42</v>
      </c>
      <c r="L462" s="14"/>
      <c r="M462" s="17"/>
    </row>
    <row r="463" spans="1:64" x14ac:dyDescent="0.25">
      <c r="A463" s="33"/>
      <c r="B463" s="40" t="s">
        <v>177</v>
      </c>
      <c r="C463" s="144" t="s">
        <v>842</v>
      </c>
      <c r="D463" s="145"/>
      <c r="E463" s="145"/>
      <c r="F463" s="145"/>
      <c r="G463" s="145"/>
      <c r="H463" s="46" t="s">
        <v>58</v>
      </c>
      <c r="I463" s="46" t="s">
        <v>58</v>
      </c>
      <c r="J463" s="46" t="s">
        <v>58</v>
      </c>
      <c r="K463" s="65">
        <f>SUM(K464:K483)</f>
        <v>0</v>
      </c>
      <c r="L463" s="52"/>
      <c r="M463" s="17"/>
      <c r="AI463" s="56" t="s">
        <v>72</v>
      </c>
      <c r="AS463" s="65">
        <f>SUM(AJ464:AJ483)</f>
        <v>0</v>
      </c>
      <c r="AT463" s="65">
        <f>SUM(AK464:AK483)</f>
        <v>0</v>
      </c>
      <c r="AU463" s="65">
        <f>SUM(AL464:AL483)</f>
        <v>0</v>
      </c>
    </row>
    <row r="464" spans="1:64" x14ac:dyDescent="0.25">
      <c r="A464" s="34" t="s">
        <v>239</v>
      </c>
      <c r="B464" s="41" t="s">
        <v>437</v>
      </c>
      <c r="C464" s="146" t="s">
        <v>843</v>
      </c>
      <c r="D464" s="147"/>
      <c r="E464" s="147"/>
      <c r="F464" s="147"/>
      <c r="G464" s="147"/>
      <c r="H464" s="41" t="s">
        <v>895</v>
      </c>
      <c r="I464" s="76">
        <f>'Stavební rozpočet'!I464</f>
        <v>5.25</v>
      </c>
      <c r="J464" s="60"/>
      <c r="K464" s="60">
        <f>I464*J464</f>
        <v>0</v>
      </c>
      <c r="L464" s="53" t="s">
        <v>906</v>
      </c>
      <c r="M464" s="17"/>
      <c r="Z464" s="28">
        <f>IF(AQ464="5",BJ464,0)</f>
        <v>0</v>
      </c>
      <c r="AB464" s="28">
        <f>IF(AQ464="1",BH464,0)</f>
        <v>0</v>
      </c>
      <c r="AC464" s="28">
        <f>IF(AQ464="1",BI464,0)</f>
        <v>0</v>
      </c>
      <c r="AD464" s="28">
        <f>IF(AQ464="7",BH464,0)</f>
        <v>0</v>
      </c>
      <c r="AE464" s="28">
        <f>IF(AQ464="7",BI464,0)</f>
        <v>0</v>
      </c>
      <c r="AF464" s="28">
        <f>IF(AQ464="2",BH464,0)</f>
        <v>0</v>
      </c>
      <c r="AG464" s="28">
        <f>IF(AQ464="2",BI464,0)</f>
        <v>0</v>
      </c>
      <c r="AH464" s="28">
        <f>IF(AQ464="0",BJ464,0)</f>
        <v>0</v>
      </c>
      <c r="AI464" s="56" t="s">
        <v>72</v>
      </c>
      <c r="AJ464" s="60">
        <f>IF(AN464=0,K464,0)</f>
        <v>0</v>
      </c>
      <c r="AK464" s="60">
        <f>IF(AN464=15,K464,0)</f>
        <v>0</v>
      </c>
      <c r="AL464" s="60">
        <f>IF(AN464=21,K464,0)</f>
        <v>0</v>
      </c>
      <c r="AN464" s="28">
        <v>21</v>
      </c>
      <c r="AO464" s="28">
        <f>J464*0</f>
        <v>0</v>
      </c>
      <c r="AP464" s="28">
        <f>J464*(1-0)</f>
        <v>0</v>
      </c>
      <c r="AQ464" s="57" t="s">
        <v>82</v>
      </c>
      <c r="AV464" s="28">
        <f>AW464+AX464</f>
        <v>0</v>
      </c>
      <c r="AW464" s="28">
        <f>I464*AO464</f>
        <v>0</v>
      </c>
      <c r="AX464" s="28">
        <f>I464*AP464</f>
        <v>0</v>
      </c>
      <c r="AY464" s="59" t="s">
        <v>948</v>
      </c>
      <c r="AZ464" s="59" t="s">
        <v>964</v>
      </c>
      <c r="BA464" s="56" t="s">
        <v>966</v>
      </c>
      <c r="BC464" s="28">
        <f>AW464+AX464</f>
        <v>0</v>
      </c>
      <c r="BD464" s="28">
        <f>J464/(100-BE464)*100</f>
        <v>0</v>
      </c>
      <c r="BE464" s="28">
        <v>0</v>
      </c>
      <c r="BF464" s="28">
        <f>464</f>
        <v>464</v>
      </c>
      <c r="BH464" s="60">
        <f>I464*AO464</f>
        <v>0</v>
      </c>
      <c r="BI464" s="60">
        <f>I464*AP464</f>
        <v>0</v>
      </c>
      <c r="BJ464" s="60">
        <f>I464*J464</f>
        <v>0</v>
      </c>
      <c r="BK464" s="60" t="s">
        <v>971</v>
      </c>
      <c r="BL464" s="28">
        <v>96</v>
      </c>
    </row>
    <row r="465" spans="1:64" x14ac:dyDescent="0.25">
      <c r="A465" s="17"/>
      <c r="C465" s="148" t="s">
        <v>844</v>
      </c>
      <c r="D465" s="149"/>
      <c r="E465" s="149"/>
      <c r="F465" s="149"/>
      <c r="G465" s="149"/>
      <c r="I465" s="77">
        <v>5.25</v>
      </c>
      <c r="J465" s="84"/>
      <c r="L465" s="14"/>
      <c r="M465" s="17"/>
    </row>
    <row r="466" spans="1:64" x14ac:dyDescent="0.25">
      <c r="A466" s="34" t="s">
        <v>240</v>
      </c>
      <c r="B466" s="41" t="s">
        <v>438</v>
      </c>
      <c r="C466" s="146" t="s">
        <v>845</v>
      </c>
      <c r="D466" s="147"/>
      <c r="E466" s="147"/>
      <c r="F466" s="147"/>
      <c r="G466" s="147"/>
      <c r="H466" s="41" t="s">
        <v>892</v>
      </c>
      <c r="I466" s="76">
        <f>'Stavební rozpočet'!I466</f>
        <v>3.6859999999999999</v>
      </c>
      <c r="J466" s="60"/>
      <c r="K466" s="60">
        <f>I466*J466</f>
        <v>0</v>
      </c>
      <c r="L466" s="53" t="s">
        <v>906</v>
      </c>
      <c r="M466" s="17"/>
      <c r="Z466" s="28">
        <f>IF(AQ466="5",BJ466,0)</f>
        <v>0</v>
      </c>
      <c r="AB466" s="28">
        <f>IF(AQ466="1",BH466,0)</f>
        <v>0</v>
      </c>
      <c r="AC466" s="28">
        <f>IF(AQ466="1",BI466,0)</f>
        <v>0</v>
      </c>
      <c r="AD466" s="28">
        <f>IF(AQ466="7",BH466,0)</f>
        <v>0</v>
      </c>
      <c r="AE466" s="28">
        <f>IF(AQ466="7",BI466,0)</f>
        <v>0</v>
      </c>
      <c r="AF466" s="28">
        <f>IF(AQ466="2",BH466,0)</f>
        <v>0</v>
      </c>
      <c r="AG466" s="28">
        <f>IF(AQ466="2",BI466,0)</f>
        <v>0</v>
      </c>
      <c r="AH466" s="28">
        <f>IF(AQ466="0",BJ466,0)</f>
        <v>0</v>
      </c>
      <c r="AI466" s="56" t="s">
        <v>72</v>
      </c>
      <c r="AJ466" s="60">
        <f>IF(AN466=0,K466,0)</f>
        <v>0</v>
      </c>
      <c r="AK466" s="60">
        <f>IF(AN466=15,K466,0)</f>
        <v>0</v>
      </c>
      <c r="AL466" s="60">
        <f>IF(AN466=21,K466,0)</f>
        <v>0</v>
      </c>
      <c r="AN466" s="28">
        <v>21</v>
      </c>
      <c r="AO466" s="28">
        <f>J466*0</f>
        <v>0</v>
      </c>
      <c r="AP466" s="28">
        <f>J466*(1-0)</f>
        <v>0</v>
      </c>
      <c r="AQ466" s="57" t="s">
        <v>82</v>
      </c>
      <c r="AV466" s="28">
        <f>AW466+AX466</f>
        <v>0</v>
      </c>
      <c r="AW466" s="28">
        <f>I466*AO466</f>
        <v>0</v>
      </c>
      <c r="AX466" s="28">
        <f>I466*AP466</f>
        <v>0</v>
      </c>
      <c r="AY466" s="59" t="s">
        <v>948</v>
      </c>
      <c r="AZ466" s="59" t="s">
        <v>964</v>
      </c>
      <c r="BA466" s="56" t="s">
        <v>966</v>
      </c>
      <c r="BC466" s="28">
        <f>AW466+AX466</f>
        <v>0</v>
      </c>
      <c r="BD466" s="28">
        <f>J466/(100-BE466)*100</f>
        <v>0</v>
      </c>
      <c r="BE466" s="28">
        <v>0</v>
      </c>
      <c r="BF466" s="28">
        <f>466</f>
        <v>466</v>
      </c>
      <c r="BH466" s="60">
        <f>I466*AO466</f>
        <v>0</v>
      </c>
      <c r="BI466" s="60">
        <f>I466*AP466</f>
        <v>0</v>
      </c>
      <c r="BJ466" s="60">
        <f>I466*J466</f>
        <v>0</v>
      </c>
      <c r="BK466" s="60" t="s">
        <v>971</v>
      </c>
      <c r="BL466" s="28">
        <v>96</v>
      </c>
    </row>
    <row r="467" spans="1:64" x14ac:dyDescent="0.25">
      <c r="A467" s="17"/>
      <c r="C467" s="148" t="s">
        <v>846</v>
      </c>
      <c r="D467" s="149"/>
      <c r="E467" s="149"/>
      <c r="F467" s="149"/>
      <c r="G467" s="149"/>
      <c r="I467" s="77">
        <v>3.6859999999999999</v>
      </c>
      <c r="J467" s="84"/>
      <c r="L467" s="14"/>
      <c r="M467" s="17"/>
    </row>
    <row r="468" spans="1:64" x14ac:dyDescent="0.25">
      <c r="A468" s="34" t="s">
        <v>241</v>
      </c>
      <c r="B468" s="41" t="s">
        <v>439</v>
      </c>
      <c r="C468" s="146" t="s">
        <v>847</v>
      </c>
      <c r="D468" s="147"/>
      <c r="E468" s="147"/>
      <c r="F468" s="147"/>
      <c r="G468" s="147"/>
      <c r="H468" s="41" t="s">
        <v>892</v>
      </c>
      <c r="I468" s="76">
        <f>'Stavební rozpočet'!I468</f>
        <v>16.390999999999998</v>
      </c>
      <c r="J468" s="60"/>
      <c r="K468" s="60">
        <f>I468*J468</f>
        <v>0</v>
      </c>
      <c r="L468" s="53" t="s">
        <v>906</v>
      </c>
      <c r="M468" s="17"/>
      <c r="Z468" s="28">
        <f>IF(AQ468="5",BJ468,0)</f>
        <v>0</v>
      </c>
      <c r="AB468" s="28">
        <f>IF(AQ468="1",BH468,0)</f>
        <v>0</v>
      </c>
      <c r="AC468" s="28">
        <f>IF(AQ468="1",BI468,0)</f>
        <v>0</v>
      </c>
      <c r="AD468" s="28">
        <f>IF(AQ468="7",BH468,0)</f>
        <v>0</v>
      </c>
      <c r="AE468" s="28">
        <f>IF(AQ468="7",BI468,0)</f>
        <v>0</v>
      </c>
      <c r="AF468" s="28">
        <f>IF(AQ468="2",BH468,0)</f>
        <v>0</v>
      </c>
      <c r="AG468" s="28">
        <f>IF(AQ468="2",BI468,0)</f>
        <v>0</v>
      </c>
      <c r="AH468" s="28">
        <f>IF(AQ468="0",BJ468,0)</f>
        <v>0</v>
      </c>
      <c r="AI468" s="56" t="s">
        <v>72</v>
      </c>
      <c r="AJ468" s="60">
        <f>IF(AN468=0,K468,0)</f>
        <v>0</v>
      </c>
      <c r="AK468" s="60">
        <f>IF(AN468=15,K468,0)</f>
        <v>0</v>
      </c>
      <c r="AL468" s="60">
        <f>IF(AN468=21,K468,0)</f>
        <v>0</v>
      </c>
      <c r="AN468" s="28">
        <v>21</v>
      </c>
      <c r="AO468" s="28">
        <f>J468*0.0315138259705825</f>
        <v>0</v>
      </c>
      <c r="AP468" s="28">
        <f>J468*(1-0.0315138259705825)</f>
        <v>0</v>
      </c>
      <c r="AQ468" s="57" t="s">
        <v>82</v>
      </c>
      <c r="AV468" s="28">
        <f>AW468+AX468</f>
        <v>0</v>
      </c>
      <c r="AW468" s="28">
        <f>I468*AO468</f>
        <v>0</v>
      </c>
      <c r="AX468" s="28">
        <f>I468*AP468</f>
        <v>0</v>
      </c>
      <c r="AY468" s="59" t="s">
        <v>948</v>
      </c>
      <c r="AZ468" s="59" t="s">
        <v>964</v>
      </c>
      <c r="BA468" s="56" t="s">
        <v>966</v>
      </c>
      <c r="BC468" s="28">
        <f>AW468+AX468</f>
        <v>0</v>
      </c>
      <c r="BD468" s="28">
        <f>J468/(100-BE468)*100</f>
        <v>0</v>
      </c>
      <c r="BE468" s="28">
        <v>0</v>
      </c>
      <c r="BF468" s="28">
        <f>468</f>
        <v>468</v>
      </c>
      <c r="BH468" s="60">
        <f>I468*AO468</f>
        <v>0</v>
      </c>
      <c r="BI468" s="60">
        <f>I468*AP468</f>
        <v>0</v>
      </c>
      <c r="BJ468" s="60">
        <f>I468*J468</f>
        <v>0</v>
      </c>
      <c r="BK468" s="60" t="s">
        <v>971</v>
      </c>
      <c r="BL468" s="28">
        <v>96</v>
      </c>
    </row>
    <row r="469" spans="1:64" x14ac:dyDescent="0.25">
      <c r="A469" s="17"/>
      <c r="C469" s="148" t="s">
        <v>848</v>
      </c>
      <c r="D469" s="149"/>
      <c r="E469" s="149"/>
      <c r="F469" s="149"/>
      <c r="G469" s="149"/>
      <c r="I469" s="77">
        <v>2.7629999999999999</v>
      </c>
      <c r="J469" s="84"/>
      <c r="L469" s="14"/>
      <c r="M469" s="17"/>
    </row>
    <row r="470" spans="1:64" x14ac:dyDescent="0.25">
      <c r="A470" s="17"/>
      <c r="C470" s="148" t="s">
        <v>849</v>
      </c>
      <c r="D470" s="149"/>
      <c r="E470" s="149"/>
      <c r="F470" s="149"/>
      <c r="G470" s="149"/>
      <c r="I470" s="77">
        <v>1.913</v>
      </c>
      <c r="L470" s="14"/>
      <c r="M470" s="17"/>
    </row>
    <row r="471" spans="1:64" x14ac:dyDescent="0.25">
      <c r="A471" s="17"/>
      <c r="C471" s="148" t="s">
        <v>850</v>
      </c>
      <c r="D471" s="149"/>
      <c r="E471" s="149"/>
      <c r="F471" s="149"/>
      <c r="G471" s="149"/>
      <c r="I471" s="77">
        <v>0.495</v>
      </c>
      <c r="L471" s="14"/>
      <c r="M471" s="17"/>
    </row>
    <row r="472" spans="1:64" x14ac:dyDescent="0.25">
      <c r="A472" s="17"/>
      <c r="C472" s="148" t="s">
        <v>851</v>
      </c>
      <c r="D472" s="149"/>
      <c r="E472" s="149"/>
      <c r="F472" s="149"/>
      <c r="G472" s="149"/>
      <c r="I472" s="77">
        <v>0.50600000000000001</v>
      </c>
      <c r="L472" s="14"/>
      <c r="M472" s="17"/>
    </row>
    <row r="473" spans="1:64" x14ac:dyDescent="0.25">
      <c r="A473" s="17"/>
      <c r="C473" s="148" t="s">
        <v>852</v>
      </c>
      <c r="D473" s="149"/>
      <c r="E473" s="149"/>
      <c r="F473" s="149"/>
      <c r="G473" s="149"/>
      <c r="I473" s="77">
        <v>1.1479999999999999</v>
      </c>
      <c r="L473" s="14"/>
      <c r="M473" s="17"/>
    </row>
    <row r="474" spans="1:64" x14ac:dyDescent="0.25">
      <c r="A474" s="17"/>
      <c r="C474" s="148" t="s">
        <v>853</v>
      </c>
      <c r="D474" s="149"/>
      <c r="E474" s="149"/>
      <c r="F474" s="149"/>
      <c r="G474" s="149"/>
      <c r="I474" s="77">
        <v>0.56599999999999995</v>
      </c>
      <c r="L474" s="14"/>
      <c r="M474" s="17"/>
    </row>
    <row r="475" spans="1:64" x14ac:dyDescent="0.25">
      <c r="A475" s="17"/>
      <c r="C475" s="148" t="s">
        <v>854</v>
      </c>
      <c r="D475" s="149"/>
      <c r="E475" s="149"/>
      <c r="F475" s="149"/>
      <c r="G475" s="149"/>
      <c r="I475" s="77">
        <v>1.08</v>
      </c>
      <c r="L475" s="14"/>
      <c r="M475" s="17"/>
    </row>
    <row r="476" spans="1:64" x14ac:dyDescent="0.25">
      <c r="A476" s="17"/>
      <c r="C476" s="148" t="s">
        <v>855</v>
      </c>
      <c r="D476" s="149"/>
      <c r="E476" s="149"/>
      <c r="F476" s="149"/>
      <c r="G476" s="149"/>
      <c r="I476" s="77">
        <v>7.68</v>
      </c>
      <c r="L476" s="14"/>
      <c r="M476" s="17"/>
    </row>
    <row r="477" spans="1:64" x14ac:dyDescent="0.25">
      <c r="A477" s="17"/>
      <c r="C477" s="148" t="s">
        <v>856</v>
      </c>
      <c r="D477" s="149"/>
      <c r="E477" s="149"/>
      <c r="F477" s="149"/>
      <c r="G477" s="149"/>
      <c r="H477" s="84"/>
      <c r="I477" s="77">
        <v>0.24</v>
      </c>
      <c r="J477" s="84"/>
      <c r="K477" s="84"/>
      <c r="L477" s="14"/>
      <c r="M477" s="17"/>
    </row>
    <row r="478" spans="1:64" x14ac:dyDescent="0.25">
      <c r="A478" s="34" t="s">
        <v>242</v>
      </c>
      <c r="B478" s="41" t="s">
        <v>440</v>
      </c>
      <c r="C478" s="146" t="s">
        <v>857</v>
      </c>
      <c r="D478" s="147"/>
      <c r="E478" s="147"/>
      <c r="F478" s="147"/>
      <c r="G478" s="147"/>
      <c r="H478" s="83" t="s">
        <v>892</v>
      </c>
      <c r="I478" s="76">
        <f>'Stavební rozpočet'!I478</f>
        <v>86.33</v>
      </c>
      <c r="J478" s="60"/>
      <c r="K478" s="60">
        <f>I478*J478</f>
        <v>0</v>
      </c>
      <c r="L478" s="53" t="s">
        <v>906</v>
      </c>
      <c r="M478" s="17"/>
      <c r="Z478" s="28">
        <f>IF(AQ478="5",BJ478,0)</f>
        <v>0</v>
      </c>
      <c r="AB478" s="28">
        <f>IF(AQ478="1",BH478,0)</f>
        <v>0</v>
      </c>
      <c r="AC478" s="28">
        <f>IF(AQ478="1",BI478,0)</f>
        <v>0</v>
      </c>
      <c r="AD478" s="28">
        <f>IF(AQ478="7",BH478,0)</f>
        <v>0</v>
      </c>
      <c r="AE478" s="28">
        <f>IF(AQ478="7",BI478,0)</f>
        <v>0</v>
      </c>
      <c r="AF478" s="28">
        <f>IF(AQ478="2",BH478,0)</f>
        <v>0</v>
      </c>
      <c r="AG478" s="28">
        <f>IF(AQ478="2",BI478,0)</f>
        <v>0</v>
      </c>
      <c r="AH478" s="28">
        <f>IF(AQ478="0",BJ478,0)</f>
        <v>0</v>
      </c>
      <c r="AI478" s="56" t="s">
        <v>72</v>
      </c>
      <c r="AJ478" s="60">
        <f>IF(AN478=0,K478,0)</f>
        <v>0</v>
      </c>
      <c r="AK478" s="60">
        <f>IF(AN478=15,K478,0)</f>
        <v>0</v>
      </c>
      <c r="AL478" s="60">
        <f>IF(AN478=21,K478,0)</f>
        <v>0</v>
      </c>
      <c r="AN478" s="28">
        <v>21</v>
      </c>
      <c r="AO478" s="28">
        <f>J478*0</f>
        <v>0</v>
      </c>
      <c r="AP478" s="28">
        <f>J478*(1-0)</f>
        <v>0</v>
      </c>
      <c r="AQ478" s="57" t="s">
        <v>82</v>
      </c>
      <c r="AV478" s="28">
        <f>AW478+AX478</f>
        <v>0</v>
      </c>
      <c r="AW478" s="28">
        <f>I478*AO478</f>
        <v>0</v>
      </c>
      <c r="AX478" s="28">
        <f>I478*AP478</f>
        <v>0</v>
      </c>
      <c r="AY478" s="59" t="s">
        <v>948</v>
      </c>
      <c r="AZ478" s="59" t="s">
        <v>964</v>
      </c>
      <c r="BA478" s="56" t="s">
        <v>966</v>
      </c>
      <c r="BC478" s="28">
        <f>AW478+AX478</f>
        <v>0</v>
      </c>
      <c r="BD478" s="28">
        <f>J478/(100-BE478)*100</f>
        <v>0</v>
      </c>
      <c r="BE478" s="28">
        <v>0</v>
      </c>
      <c r="BF478" s="28">
        <f>478</f>
        <v>478</v>
      </c>
      <c r="BH478" s="60">
        <f>I478*AO478</f>
        <v>0</v>
      </c>
      <c r="BI478" s="60">
        <f>I478*AP478</f>
        <v>0</v>
      </c>
      <c r="BJ478" s="60">
        <f>I478*J478</f>
        <v>0</v>
      </c>
      <c r="BK478" s="60" t="s">
        <v>971</v>
      </c>
      <c r="BL478" s="28">
        <v>96</v>
      </c>
    </row>
    <row r="479" spans="1:64" x14ac:dyDescent="0.25">
      <c r="A479" s="17"/>
      <c r="C479" s="148" t="s">
        <v>858</v>
      </c>
      <c r="D479" s="149"/>
      <c r="E479" s="149"/>
      <c r="F479" s="149"/>
      <c r="G479" s="149"/>
      <c r="H479" s="84"/>
      <c r="I479" s="77">
        <v>86.33</v>
      </c>
      <c r="J479" s="84"/>
      <c r="K479" s="84"/>
      <c r="L479" s="14"/>
      <c r="M479" s="17"/>
    </row>
    <row r="480" spans="1:64" x14ac:dyDescent="0.25">
      <c r="A480" s="34" t="s">
        <v>243</v>
      </c>
      <c r="B480" s="41" t="s">
        <v>441</v>
      </c>
      <c r="C480" s="146" t="s">
        <v>859</v>
      </c>
      <c r="D480" s="147"/>
      <c r="E480" s="147"/>
      <c r="F480" s="147"/>
      <c r="G480" s="147"/>
      <c r="H480" s="83" t="s">
        <v>892</v>
      </c>
      <c r="I480" s="76">
        <f>'Stavební rozpočet'!I480</f>
        <v>183.76</v>
      </c>
      <c r="J480" s="60"/>
      <c r="K480" s="60">
        <f>I480*J480</f>
        <v>0</v>
      </c>
      <c r="L480" s="53" t="s">
        <v>906</v>
      </c>
      <c r="M480" s="17"/>
      <c r="Z480" s="28">
        <f>IF(AQ480="5",BJ480,0)</f>
        <v>0</v>
      </c>
      <c r="AB480" s="28">
        <f>IF(AQ480="1",BH480,0)</f>
        <v>0</v>
      </c>
      <c r="AC480" s="28">
        <f>IF(AQ480="1",BI480,0)</f>
        <v>0</v>
      </c>
      <c r="AD480" s="28">
        <f>IF(AQ480="7",BH480,0)</f>
        <v>0</v>
      </c>
      <c r="AE480" s="28">
        <f>IF(AQ480="7",BI480,0)</f>
        <v>0</v>
      </c>
      <c r="AF480" s="28">
        <f>IF(AQ480="2",BH480,0)</f>
        <v>0</v>
      </c>
      <c r="AG480" s="28">
        <f>IF(AQ480="2",BI480,0)</f>
        <v>0</v>
      </c>
      <c r="AH480" s="28">
        <f>IF(AQ480="0",BJ480,0)</f>
        <v>0</v>
      </c>
      <c r="AI480" s="56" t="s">
        <v>72</v>
      </c>
      <c r="AJ480" s="60">
        <f>IF(AN480=0,K480,0)</f>
        <v>0</v>
      </c>
      <c r="AK480" s="60">
        <f>IF(AN480=15,K480,0)</f>
        <v>0</v>
      </c>
      <c r="AL480" s="60">
        <f>IF(AN480=21,K480,0)</f>
        <v>0</v>
      </c>
      <c r="AN480" s="28">
        <v>21</v>
      </c>
      <c r="AO480" s="28">
        <f>J480*0</f>
        <v>0</v>
      </c>
      <c r="AP480" s="28">
        <f>J480*(1-0)</f>
        <v>0</v>
      </c>
      <c r="AQ480" s="57" t="s">
        <v>82</v>
      </c>
      <c r="AV480" s="28">
        <f>AW480+AX480</f>
        <v>0</v>
      </c>
      <c r="AW480" s="28">
        <f>I480*AO480</f>
        <v>0</v>
      </c>
      <c r="AX480" s="28">
        <f>I480*AP480</f>
        <v>0</v>
      </c>
      <c r="AY480" s="59" t="s">
        <v>948</v>
      </c>
      <c r="AZ480" s="59" t="s">
        <v>964</v>
      </c>
      <c r="BA480" s="56" t="s">
        <v>966</v>
      </c>
      <c r="BC480" s="28">
        <f>AW480+AX480</f>
        <v>0</v>
      </c>
      <c r="BD480" s="28">
        <f>J480/(100-BE480)*100</f>
        <v>0</v>
      </c>
      <c r="BE480" s="28">
        <v>0</v>
      </c>
      <c r="BF480" s="28">
        <f>480</f>
        <v>480</v>
      </c>
      <c r="BH480" s="60">
        <f>I480*AO480</f>
        <v>0</v>
      </c>
      <c r="BI480" s="60">
        <f>I480*AP480</f>
        <v>0</v>
      </c>
      <c r="BJ480" s="60">
        <f>I480*J480</f>
        <v>0</v>
      </c>
      <c r="BK480" s="60" t="s">
        <v>971</v>
      </c>
      <c r="BL480" s="28">
        <v>96</v>
      </c>
    </row>
    <row r="481" spans="1:64" x14ac:dyDescent="0.25">
      <c r="A481" s="17"/>
      <c r="B481" s="42" t="s">
        <v>265</v>
      </c>
      <c r="C481" s="150" t="s">
        <v>860</v>
      </c>
      <c r="D481" s="151"/>
      <c r="E481" s="151"/>
      <c r="F481" s="151"/>
      <c r="G481" s="151"/>
      <c r="H481" s="151"/>
      <c r="I481" s="151"/>
      <c r="J481" s="151"/>
      <c r="K481" s="151"/>
      <c r="L481" s="152"/>
      <c r="M481" s="17"/>
    </row>
    <row r="482" spans="1:64" x14ac:dyDescent="0.25">
      <c r="A482" s="17"/>
      <c r="C482" s="148" t="s">
        <v>861</v>
      </c>
      <c r="D482" s="149"/>
      <c r="E482" s="149"/>
      <c r="F482" s="149"/>
      <c r="G482" s="149"/>
      <c r="H482" s="84"/>
      <c r="I482" s="77">
        <v>183.76</v>
      </c>
      <c r="J482" s="84"/>
      <c r="K482" s="84"/>
      <c r="L482" s="14"/>
      <c r="M482" s="17"/>
    </row>
    <row r="483" spans="1:64" x14ac:dyDescent="0.25">
      <c r="A483" s="34" t="s">
        <v>244</v>
      </c>
      <c r="B483" s="41" t="s">
        <v>442</v>
      </c>
      <c r="C483" s="146" t="s">
        <v>862</v>
      </c>
      <c r="D483" s="147"/>
      <c r="E483" s="147"/>
      <c r="F483" s="147"/>
      <c r="G483" s="147"/>
      <c r="H483" s="83" t="s">
        <v>891</v>
      </c>
      <c r="I483" s="76">
        <f>'Stavební rozpočet'!I483</f>
        <v>76.930000000000007</v>
      </c>
      <c r="J483" s="60"/>
      <c r="K483" s="60">
        <f>I483*J483</f>
        <v>0</v>
      </c>
      <c r="L483" s="53" t="s">
        <v>906</v>
      </c>
      <c r="M483" s="17"/>
      <c r="Z483" s="28">
        <f>IF(AQ483="5",BJ483,0)</f>
        <v>0</v>
      </c>
      <c r="AB483" s="28">
        <f>IF(AQ483="1",BH483,0)</f>
        <v>0</v>
      </c>
      <c r="AC483" s="28">
        <f>IF(AQ483="1",BI483,0)</f>
        <v>0</v>
      </c>
      <c r="AD483" s="28">
        <f>IF(AQ483="7",BH483,0)</f>
        <v>0</v>
      </c>
      <c r="AE483" s="28">
        <f>IF(AQ483="7",BI483,0)</f>
        <v>0</v>
      </c>
      <c r="AF483" s="28">
        <f>IF(AQ483="2",BH483,0)</f>
        <v>0</v>
      </c>
      <c r="AG483" s="28">
        <f>IF(AQ483="2",BI483,0)</f>
        <v>0</v>
      </c>
      <c r="AH483" s="28">
        <f>IF(AQ483="0",BJ483,0)</f>
        <v>0</v>
      </c>
      <c r="AI483" s="56" t="s">
        <v>72</v>
      </c>
      <c r="AJ483" s="60">
        <f>IF(AN483=0,K483,0)</f>
        <v>0</v>
      </c>
      <c r="AK483" s="60">
        <f>IF(AN483=15,K483,0)</f>
        <v>0</v>
      </c>
      <c r="AL483" s="60">
        <f>IF(AN483=21,K483,0)</f>
        <v>0</v>
      </c>
      <c r="AN483" s="28">
        <v>21</v>
      </c>
      <c r="AO483" s="28">
        <f>J483*0.051375</f>
        <v>0</v>
      </c>
      <c r="AP483" s="28">
        <f>J483*(1-0.051375)</f>
        <v>0</v>
      </c>
      <c r="AQ483" s="57" t="s">
        <v>82</v>
      </c>
      <c r="AV483" s="28">
        <f>AW483+AX483</f>
        <v>0</v>
      </c>
      <c r="AW483" s="28">
        <f>I483*AO483</f>
        <v>0</v>
      </c>
      <c r="AX483" s="28">
        <f>I483*AP483</f>
        <v>0</v>
      </c>
      <c r="AY483" s="59" t="s">
        <v>948</v>
      </c>
      <c r="AZ483" s="59" t="s">
        <v>964</v>
      </c>
      <c r="BA483" s="56" t="s">
        <v>966</v>
      </c>
      <c r="BC483" s="28">
        <f>AW483+AX483</f>
        <v>0</v>
      </c>
      <c r="BD483" s="28">
        <f>J483/(100-BE483)*100</f>
        <v>0</v>
      </c>
      <c r="BE483" s="28">
        <v>0</v>
      </c>
      <c r="BF483" s="28">
        <f>483</f>
        <v>483</v>
      </c>
      <c r="BH483" s="60">
        <f>I483*AO483</f>
        <v>0</v>
      </c>
      <c r="BI483" s="60">
        <f>I483*AP483</f>
        <v>0</v>
      </c>
      <c r="BJ483" s="60">
        <f>I483*J483</f>
        <v>0</v>
      </c>
      <c r="BK483" s="60" t="s">
        <v>971</v>
      </c>
      <c r="BL483" s="28">
        <v>96</v>
      </c>
    </row>
    <row r="484" spans="1:64" x14ac:dyDescent="0.25">
      <c r="A484" s="17"/>
      <c r="C484" s="148" t="s">
        <v>863</v>
      </c>
      <c r="D484" s="149"/>
      <c r="E484" s="149"/>
      <c r="F484" s="149"/>
      <c r="G484" s="149"/>
      <c r="I484" s="77">
        <v>76.930000000000007</v>
      </c>
      <c r="L484" s="14"/>
      <c r="M484" s="17"/>
    </row>
    <row r="485" spans="1:64" x14ac:dyDescent="0.25">
      <c r="A485" s="33"/>
      <c r="B485" s="40" t="s">
        <v>178</v>
      </c>
      <c r="C485" s="144" t="s">
        <v>864</v>
      </c>
      <c r="D485" s="145"/>
      <c r="E485" s="145"/>
      <c r="F485" s="145"/>
      <c r="G485" s="145"/>
      <c r="H485" s="46" t="s">
        <v>58</v>
      </c>
      <c r="I485" s="46" t="s">
        <v>58</v>
      </c>
      <c r="J485" s="46" t="s">
        <v>58</v>
      </c>
      <c r="K485" s="65">
        <f>SUM(K486:K498)</f>
        <v>0</v>
      </c>
      <c r="L485" s="52"/>
      <c r="M485" s="17"/>
      <c r="AI485" s="56" t="s">
        <v>72</v>
      </c>
      <c r="AS485" s="65">
        <f>SUM(AJ486:AJ498)</f>
        <v>0</v>
      </c>
      <c r="AT485" s="65">
        <f>SUM(AK486:AK498)</f>
        <v>0</v>
      </c>
      <c r="AU485" s="65">
        <f>SUM(AL486:AL498)</f>
        <v>0</v>
      </c>
    </row>
    <row r="486" spans="1:64" x14ac:dyDescent="0.25">
      <c r="A486" s="34" t="s">
        <v>245</v>
      </c>
      <c r="B486" s="41" t="s">
        <v>443</v>
      </c>
      <c r="C486" s="146" t="s">
        <v>865</v>
      </c>
      <c r="D486" s="147"/>
      <c r="E486" s="147"/>
      <c r="F486" s="147"/>
      <c r="G486" s="147"/>
      <c r="H486" s="41" t="s">
        <v>891</v>
      </c>
      <c r="I486" s="76">
        <f>'Stavební rozpočet'!I486</f>
        <v>178.69</v>
      </c>
      <c r="J486" s="60"/>
      <c r="K486" s="60">
        <f>I486*J486</f>
        <v>0</v>
      </c>
      <c r="L486" s="53" t="s">
        <v>906</v>
      </c>
      <c r="M486" s="17"/>
      <c r="Z486" s="28">
        <f>IF(AQ486="5",BJ486,0)</f>
        <v>0</v>
      </c>
      <c r="AB486" s="28">
        <f>IF(AQ486="1",BH486,0)</f>
        <v>0</v>
      </c>
      <c r="AC486" s="28">
        <f>IF(AQ486="1",BI486,0)</f>
        <v>0</v>
      </c>
      <c r="AD486" s="28">
        <f>IF(AQ486="7",BH486,0)</f>
        <v>0</v>
      </c>
      <c r="AE486" s="28">
        <f>IF(AQ486="7",BI486,0)</f>
        <v>0</v>
      </c>
      <c r="AF486" s="28">
        <f>IF(AQ486="2",BH486,0)</f>
        <v>0</v>
      </c>
      <c r="AG486" s="28">
        <f>IF(AQ486="2",BI486,0)</f>
        <v>0</v>
      </c>
      <c r="AH486" s="28">
        <f>IF(AQ486="0",BJ486,0)</f>
        <v>0</v>
      </c>
      <c r="AI486" s="56" t="s">
        <v>72</v>
      </c>
      <c r="AJ486" s="60">
        <f>IF(AN486=0,K486,0)</f>
        <v>0</v>
      </c>
      <c r="AK486" s="60">
        <f>IF(AN486=15,K486,0)</f>
        <v>0</v>
      </c>
      <c r="AL486" s="60">
        <f>IF(AN486=21,K486,0)</f>
        <v>0</v>
      </c>
      <c r="AN486" s="28">
        <v>21</v>
      </c>
      <c r="AO486" s="28">
        <f>J486*0</f>
        <v>0</v>
      </c>
      <c r="AP486" s="28">
        <f>J486*(1-0)</f>
        <v>0</v>
      </c>
      <c r="AQ486" s="57" t="s">
        <v>82</v>
      </c>
      <c r="AV486" s="28">
        <f>AW486+AX486</f>
        <v>0</v>
      </c>
      <c r="AW486" s="28">
        <f>I486*AO486</f>
        <v>0</v>
      </c>
      <c r="AX486" s="28">
        <f>I486*AP486</f>
        <v>0</v>
      </c>
      <c r="AY486" s="59" t="s">
        <v>949</v>
      </c>
      <c r="AZ486" s="59" t="s">
        <v>964</v>
      </c>
      <c r="BA486" s="56" t="s">
        <v>966</v>
      </c>
      <c r="BC486" s="28">
        <f>AW486+AX486</f>
        <v>0</v>
      </c>
      <c r="BD486" s="28">
        <f>J486/(100-BE486)*100</f>
        <v>0</v>
      </c>
      <c r="BE486" s="28">
        <v>0</v>
      </c>
      <c r="BF486" s="28">
        <f>486</f>
        <v>486</v>
      </c>
      <c r="BH486" s="60">
        <f>I486*AO486</f>
        <v>0</v>
      </c>
      <c r="BI486" s="60">
        <f>I486*AP486</f>
        <v>0</v>
      </c>
      <c r="BJ486" s="60">
        <f>I486*J486</f>
        <v>0</v>
      </c>
      <c r="BK486" s="60" t="s">
        <v>971</v>
      </c>
      <c r="BL486" s="28">
        <v>97</v>
      </c>
    </row>
    <row r="487" spans="1:64" x14ac:dyDescent="0.25">
      <c r="A487" s="17"/>
      <c r="C487" s="148" t="s">
        <v>866</v>
      </c>
      <c r="D487" s="149"/>
      <c r="E487" s="149"/>
      <c r="F487" s="149"/>
      <c r="G487" s="149"/>
      <c r="I487" s="77">
        <v>59.89</v>
      </c>
      <c r="J487" s="84"/>
      <c r="L487" s="14"/>
      <c r="M487" s="17"/>
    </row>
    <row r="488" spans="1:64" x14ac:dyDescent="0.25">
      <c r="A488" s="17"/>
      <c r="C488" s="148" t="s">
        <v>867</v>
      </c>
      <c r="D488" s="149"/>
      <c r="E488" s="149"/>
      <c r="F488" s="149"/>
      <c r="G488" s="149"/>
      <c r="I488" s="77">
        <v>52.4</v>
      </c>
      <c r="J488" s="84"/>
      <c r="L488" s="14"/>
      <c r="M488" s="17"/>
    </row>
    <row r="489" spans="1:64" x14ac:dyDescent="0.25">
      <c r="A489" s="17"/>
      <c r="C489" s="148" t="s">
        <v>868</v>
      </c>
      <c r="D489" s="149"/>
      <c r="E489" s="149"/>
      <c r="F489" s="149"/>
      <c r="G489" s="149"/>
      <c r="I489" s="77">
        <v>66.400000000000006</v>
      </c>
      <c r="J489" s="84"/>
      <c r="L489" s="14"/>
      <c r="M489" s="17"/>
    </row>
    <row r="490" spans="1:64" x14ac:dyDescent="0.25">
      <c r="A490" s="34" t="s">
        <v>246</v>
      </c>
      <c r="B490" s="41" t="s">
        <v>444</v>
      </c>
      <c r="C490" s="146" t="s">
        <v>869</v>
      </c>
      <c r="D490" s="147"/>
      <c r="E490" s="147"/>
      <c r="F490" s="147"/>
      <c r="G490" s="147"/>
      <c r="H490" s="41" t="s">
        <v>893</v>
      </c>
      <c r="I490" s="76">
        <f>'Stavební rozpočet'!I490</f>
        <v>632.34799999999996</v>
      </c>
      <c r="J490" s="60"/>
      <c r="K490" s="60">
        <f t="shared" ref="K490:K495" si="62">I490*J490</f>
        <v>0</v>
      </c>
      <c r="L490" s="53" t="s">
        <v>906</v>
      </c>
      <c r="M490" s="17"/>
      <c r="Z490" s="28">
        <f t="shared" ref="Z490:Z495" si="63">IF(AQ490="5",BJ490,0)</f>
        <v>0</v>
      </c>
      <c r="AB490" s="28">
        <f t="shared" ref="AB490:AB495" si="64">IF(AQ490="1",BH490,0)</f>
        <v>0</v>
      </c>
      <c r="AC490" s="28">
        <f t="shared" ref="AC490:AC495" si="65">IF(AQ490="1",BI490,0)</f>
        <v>0</v>
      </c>
      <c r="AD490" s="28">
        <f t="shared" ref="AD490:AD495" si="66">IF(AQ490="7",BH490,0)</f>
        <v>0</v>
      </c>
      <c r="AE490" s="28">
        <f t="shared" ref="AE490:AE495" si="67">IF(AQ490="7",BI490,0)</f>
        <v>0</v>
      </c>
      <c r="AF490" s="28">
        <f t="shared" ref="AF490:AF495" si="68">IF(AQ490="2",BH490,0)</f>
        <v>0</v>
      </c>
      <c r="AG490" s="28">
        <f t="shared" ref="AG490:AG495" si="69">IF(AQ490="2",BI490,0)</f>
        <v>0</v>
      </c>
      <c r="AH490" s="28">
        <f t="shared" ref="AH490:AH495" si="70">IF(AQ490="0",BJ490,0)</f>
        <v>0</v>
      </c>
      <c r="AI490" s="56" t="s">
        <v>72</v>
      </c>
      <c r="AJ490" s="60">
        <f t="shared" ref="AJ490:AJ495" si="71">IF(AN490=0,K490,0)</f>
        <v>0</v>
      </c>
      <c r="AK490" s="60">
        <f t="shared" ref="AK490:AK495" si="72">IF(AN490=15,K490,0)</f>
        <v>0</v>
      </c>
      <c r="AL490" s="60">
        <f t="shared" ref="AL490:AL495" si="73">IF(AN490=21,K490,0)</f>
        <v>0</v>
      </c>
      <c r="AN490" s="28">
        <v>21</v>
      </c>
      <c r="AO490" s="28">
        <f t="shared" ref="AO490:AO495" si="74">J490*0</f>
        <v>0</v>
      </c>
      <c r="AP490" s="28">
        <f t="shared" ref="AP490:AP495" si="75">J490*(1-0)</f>
        <v>0</v>
      </c>
      <c r="AQ490" s="57" t="s">
        <v>86</v>
      </c>
      <c r="AV490" s="28">
        <f t="shared" ref="AV490:AV495" si="76">AW490+AX490</f>
        <v>0</v>
      </c>
      <c r="AW490" s="28">
        <f t="shared" ref="AW490:AW495" si="77">I490*AO490</f>
        <v>0</v>
      </c>
      <c r="AX490" s="28">
        <f t="shared" ref="AX490:AX495" si="78">I490*AP490</f>
        <v>0</v>
      </c>
      <c r="AY490" s="59" t="s">
        <v>949</v>
      </c>
      <c r="AZ490" s="59" t="s">
        <v>964</v>
      </c>
      <c r="BA490" s="56" t="s">
        <v>966</v>
      </c>
      <c r="BC490" s="28">
        <f t="shared" ref="BC490:BC495" si="79">AW490+AX490</f>
        <v>0</v>
      </c>
      <c r="BD490" s="28">
        <f t="shared" ref="BD490:BD495" si="80">J490/(100-BE490)*100</f>
        <v>0</v>
      </c>
      <c r="BE490" s="28">
        <v>0</v>
      </c>
      <c r="BF490" s="28">
        <f>490</f>
        <v>490</v>
      </c>
      <c r="BH490" s="60">
        <f t="shared" ref="BH490:BH495" si="81">I490*AO490</f>
        <v>0</v>
      </c>
      <c r="BI490" s="60">
        <f t="shared" ref="BI490:BI495" si="82">I490*AP490</f>
        <v>0</v>
      </c>
      <c r="BJ490" s="60">
        <f t="shared" ref="BJ490:BJ495" si="83">I490*J490</f>
        <v>0</v>
      </c>
      <c r="BK490" s="60" t="s">
        <v>971</v>
      </c>
      <c r="BL490" s="28">
        <v>97</v>
      </c>
    </row>
    <row r="491" spans="1:64" x14ac:dyDescent="0.25">
      <c r="A491" s="34" t="s">
        <v>247</v>
      </c>
      <c r="B491" s="41" t="s">
        <v>445</v>
      </c>
      <c r="C491" s="146" t="s">
        <v>870</v>
      </c>
      <c r="D491" s="147"/>
      <c r="E491" s="147"/>
      <c r="F491" s="147"/>
      <c r="G491" s="147"/>
      <c r="H491" s="41" t="s">
        <v>893</v>
      </c>
      <c r="I491" s="76">
        <f>'Stavební rozpočet'!I491</f>
        <v>632.34799999999996</v>
      </c>
      <c r="J491" s="60"/>
      <c r="K491" s="60">
        <f t="shared" si="62"/>
        <v>0</v>
      </c>
      <c r="L491" s="53" t="s">
        <v>906</v>
      </c>
      <c r="M491" s="17"/>
      <c r="Z491" s="28">
        <f t="shared" si="63"/>
        <v>0</v>
      </c>
      <c r="AB491" s="28">
        <f t="shared" si="64"/>
        <v>0</v>
      </c>
      <c r="AC491" s="28">
        <f t="shared" si="65"/>
        <v>0</v>
      </c>
      <c r="AD491" s="28">
        <f t="shared" si="66"/>
        <v>0</v>
      </c>
      <c r="AE491" s="28">
        <f t="shared" si="67"/>
        <v>0</v>
      </c>
      <c r="AF491" s="28">
        <f t="shared" si="68"/>
        <v>0</v>
      </c>
      <c r="AG491" s="28">
        <f t="shared" si="69"/>
        <v>0</v>
      </c>
      <c r="AH491" s="28">
        <f t="shared" si="70"/>
        <v>0</v>
      </c>
      <c r="AI491" s="56" t="s">
        <v>72</v>
      </c>
      <c r="AJ491" s="60">
        <f t="shared" si="71"/>
        <v>0</v>
      </c>
      <c r="AK491" s="60">
        <f t="shared" si="72"/>
        <v>0</v>
      </c>
      <c r="AL491" s="60">
        <f t="shared" si="73"/>
        <v>0</v>
      </c>
      <c r="AN491" s="28">
        <v>21</v>
      </c>
      <c r="AO491" s="28">
        <f t="shared" si="74"/>
        <v>0</v>
      </c>
      <c r="AP491" s="28">
        <f t="shared" si="75"/>
        <v>0</v>
      </c>
      <c r="AQ491" s="57" t="s">
        <v>86</v>
      </c>
      <c r="AV491" s="28">
        <f t="shared" si="76"/>
        <v>0</v>
      </c>
      <c r="AW491" s="28">
        <f t="shared" si="77"/>
        <v>0</v>
      </c>
      <c r="AX491" s="28">
        <f t="shared" si="78"/>
        <v>0</v>
      </c>
      <c r="AY491" s="59" t="s">
        <v>949</v>
      </c>
      <c r="AZ491" s="59" t="s">
        <v>964</v>
      </c>
      <c r="BA491" s="56" t="s">
        <v>966</v>
      </c>
      <c r="BC491" s="28">
        <f t="shared" si="79"/>
        <v>0</v>
      </c>
      <c r="BD491" s="28">
        <f t="shared" si="80"/>
        <v>0</v>
      </c>
      <c r="BE491" s="28">
        <v>0</v>
      </c>
      <c r="BF491" s="28">
        <f>491</f>
        <v>491</v>
      </c>
      <c r="BH491" s="60">
        <f t="shared" si="81"/>
        <v>0</v>
      </c>
      <c r="BI491" s="60">
        <f t="shared" si="82"/>
        <v>0</v>
      </c>
      <c r="BJ491" s="60">
        <f t="shared" si="83"/>
        <v>0</v>
      </c>
      <c r="BK491" s="60" t="s">
        <v>971</v>
      </c>
      <c r="BL491" s="28">
        <v>97</v>
      </c>
    </row>
    <row r="492" spans="1:64" x14ac:dyDescent="0.25">
      <c r="A492" s="34" t="s">
        <v>248</v>
      </c>
      <c r="B492" s="41" t="s">
        <v>446</v>
      </c>
      <c r="C492" s="146" t="s">
        <v>871</v>
      </c>
      <c r="D492" s="147"/>
      <c r="E492" s="147"/>
      <c r="F492" s="147"/>
      <c r="G492" s="147"/>
      <c r="H492" s="41" t="s">
        <v>893</v>
      </c>
      <c r="I492" s="76">
        <f>'Stavební rozpočet'!I492</f>
        <v>632.34799999999996</v>
      </c>
      <c r="J492" s="60"/>
      <c r="K492" s="60">
        <f t="shared" si="62"/>
        <v>0</v>
      </c>
      <c r="L492" s="53" t="s">
        <v>906</v>
      </c>
      <c r="M492" s="17"/>
      <c r="Z492" s="28">
        <f t="shared" si="63"/>
        <v>0</v>
      </c>
      <c r="AB492" s="28">
        <f t="shared" si="64"/>
        <v>0</v>
      </c>
      <c r="AC492" s="28">
        <f t="shared" si="65"/>
        <v>0</v>
      </c>
      <c r="AD492" s="28">
        <f t="shared" si="66"/>
        <v>0</v>
      </c>
      <c r="AE492" s="28">
        <f t="shared" si="67"/>
        <v>0</v>
      </c>
      <c r="AF492" s="28">
        <f t="shared" si="68"/>
        <v>0</v>
      </c>
      <c r="AG492" s="28">
        <f t="shared" si="69"/>
        <v>0</v>
      </c>
      <c r="AH492" s="28">
        <f t="shared" si="70"/>
        <v>0</v>
      </c>
      <c r="AI492" s="56" t="s">
        <v>72</v>
      </c>
      <c r="AJ492" s="60">
        <f t="shared" si="71"/>
        <v>0</v>
      </c>
      <c r="AK492" s="60">
        <f t="shared" si="72"/>
        <v>0</v>
      </c>
      <c r="AL492" s="60">
        <f t="shared" si="73"/>
        <v>0</v>
      </c>
      <c r="AN492" s="28">
        <v>21</v>
      </c>
      <c r="AO492" s="28">
        <f t="shared" si="74"/>
        <v>0</v>
      </c>
      <c r="AP492" s="28">
        <f t="shared" si="75"/>
        <v>0</v>
      </c>
      <c r="AQ492" s="57" t="s">
        <v>86</v>
      </c>
      <c r="AV492" s="28">
        <f t="shared" si="76"/>
        <v>0</v>
      </c>
      <c r="AW492" s="28">
        <f t="shared" si="77"/>
        <v>0</v>
      </c>
      <c r="AX492" s="28">
        <f t="shared" si="78"/>
        <v>0</v>
      </c>
      <c r="AY492" s="59" t="s">
        <v>949</v>
      </c>
      <c r="AZ492" s="59" t="s">
        <v>964</v>
      </c>
      <c r="BA492" s="56" t="s">
        <v>966</v>
      </c>
      <c r="BC492" s="28">
        <f t="shared" si="79"/>
        <v>0</v>
      </c>
      <c r="BD492" s="28">
        <f t="shared" si="80"/>
        <v>0</v>
      </c>
      <c r="BE492" s="28">
        <v>0</v>
      </c>
      <c r="BF492" s="28">
        <f>492</f>
        <v>492</v>
      </c>
      <c r="BH492" s="60">
        <f t="shared" si="81"/>
        <v>0</v>
      </c>
      <c r="BI492" s="60">
        <f t="shared" si="82"/>
        <v>0</v>
      </c>
      <c r="BJ492" s="60">
        <f t="shared" si="83"/>
        <v>0</v>
      </c>
      <c r="BK492" s="60" t="s">
        <v>971</v>
      </c>
      <c r="BL492" s="28">
        <v>97</v>
      </c>
    </row>
    <row r="493" spans="1:64" x14ac:dyDescent="0.25">
      <c r="A493" s="34" t="s">
        <v>249</v>
      </c>
      <c r="B493" s="41" t="s">
        <v>447</v>
      </c>
      <c r="C493" s="146" t="s">
        <v>872</v>
      </c>
      <c r="D493" s="147"/>
      <c r="E493" s="147"/>
      <c r="F493" s="147"/>
      <c r="G493" s="147"/>
      <c r="H493" s="41" t="s">
        <v>893</v>
      </c>
      <c r="I493" s="76">
        <f>'Stavební rozpočet'!I493</f>
        <v>632.34799999999996</v>
      </c>
      <c r="J493" s="60"/>
      <c r="K493" s="60">
        <f t="shared" si="62"/>
        <v>0</v>
      </c>
      <c r="L493" s="53" t="s">
        <v>906</v>
      </c>
      <c r="M493" s="17"/>
      <c r="Z493" s="28">
        <f t="shared" si="63"/>
        <v>0</v>
      </c>
      <c r="AB493" s="28">
        <f t="shared" si="64"/>
        <v>0</v>
      </c>
      <c r="AC493" s="28">
        <f t="shared" si="65"/>
        <v>0</v>
      </c>
      <c r="AD493" s="28">
        <f t="shared" si="66"/>
        <v>0</v>
      </c>
      <c r="AE493" s="28">
        <f t="shared" si="67"/>
        <v>0</v>
      </c>
      <c r="AF493" s="28">
        <f t="shared" si="68"/>
        <v>0</v>
      </c>
      <c r="AG493" s="28">
        <f t="shared" si="69"/>
        <v>0</v>
      </c>
      <c r="AH493" s="28">
        <f t="shared" si="70"/>
        <v>0</v>
      </c>
      <c r="AI493" s="56" t="s">
        <v>72</v>
      </c>
      <c r="AJ493" s="60">
        <f t="shared" si="71"/>
        <v>0</v>
      </c>
      <c r="AK493" s="60">
        <f t="shared" si="72"/>
        <v>0</v>
      </c>
      <c r="AL493" s="60">
        <f t="shared" si="73"/>
        <v>0</v>
      </c>
      <c r="AN493" s="28">
        <v>21</v>
      </c>
      <c r="AO493" s="28">
        <f t="shared" si="74"/>
        <v>0</v>
      </c>
      <c r="AP493" s="28">
        <f t="shared" si="75"/>
        <v>0</v>
      </c>
      <c r="AQ493" s="57" t="s">
        <v>86</v>
      </c>
      <c r="AV493" s="28">
        <f t="shared" si="76"/>
        <v>0</v>
      </c>
      <c r="AW493" s="28">
        <f t="shared" si="77"/>
        <v>0</v>
      </c>
      <c r="AX493" s="28">
        <f t="shared" si="78"/>
        <v>0</v>
      </c>
      <c r="AY493" s="59" t="s">
        <v>949</v>
      </c>
      <c r="AZ493" s="59" t="s">
        <v>964</v>
      </c>
      <c r="BA493" s="56" t="s">
        <v>966</v>
      </c>
      <c r="BC493" s="28">
        <f t="shared" si="79"/>
        <v>0</v>
      </c>
      <c r="BD493" s="28">
        <f t="shared" si="80"/>
        <v>0</v>
      </c>
      <c r="BE493" s="28">
        <v>0</v>
      </c>
      <c r="BF493" s="28">
        <f>493</f>
        <v>493</v>
      </c>
      <c r="BH493" s="60">
        <f t="shared" si="81"/>
        <v>0</v>
      </c>
      <c r="BI493" s="60">
        <f t="shared" si="82"/>
        <v>0</v>
      </c>
      <c r="BJ493" s="60">
        <f t="shared" si="83"/>
        <v>0</v>
      </c>
      <c r="BK493" s="60" t="s">
        <v>971</v>
      </c>
      <c r="BL493" s="28">
        <v>97</v>
      </c>
    </row>
    <row r="494" spans="1:64" x14ac:dyDescent="0.25">
      <c r="A494" s="34" t="s">
        <v>250</v>
      </c>
      <c r="B494" s="41" t="s">
        <v>448</v>
      </c>
      <c r="C494" s="146" t="s">
        <v>873</v>
      </c>
      <c r="D494" s="147"/>
      <c r="E494" s="147"/>
      <c r="F494" s="147"/>
      <c r="G494" s="147"/>
      <c r="H494" s="41" t="s">
        <v>893</v>
      </c>
      <c r="I494" s="76">
        <f>'Stavební rozpočet'!I494</f>
        <v>632.34799999999996</v>
      </c>
      <c r="J494" s="60"/>
      <c r="K494" s="60">
        <f t="shared" si="62"/>
        <v>0</v>
      </c>
      <c r="L494" s="53" t="s">
        <v>906</v>
      </c>
      <c r="M494" s="17"/>
      <c r="Z494" s="28">
        <f t="shared" si="63"/>
        <v>0</v>
      </c>
      <c r="AB494" s="28">
        <f t="shared" si="64"/>
        <v>0</v>
      </c>
      <c r="AC494" s="28">
        <f t="shared" si="65"/>
        <v>0</v>
      </c>
      <c r="AD494" s="28">
        <f t="shared" si="66"/>
        <v>0</v>
      </c>
      <c r="AE494" s="28">
        <f t="shared" si="67"/>
        <v>0</v>
      </c>
      <c r="AF494" s="28">
        <f t="shared" si="68"/>
        <v>0</v>
      </c>
      <c r="AG494" s="28">
        <f t="shared" si="69"/>
        <v>0</v>
      </c>
      <c r="AH494" s="28">
        <f t="shared" si="70"/>
        <v>0</v>
      </c>
      <c r="AI494" s="56" t="s">
        <v>72</v>
      </c>
      <c r="AJ494" s="60">
        <f t="shared" si="71"/>
        <v>0</v>
      </c>
      <c r="AK494" s="60">
        <f t="shared" si="72"/>
        <v>0</v>
      </c>
      <c r="AL494" s="60">
        <f t="shared" si="73"/>
        <v>0</v>
      </c>
      <c r="AN494" s="28">
        <v>21</v>
      </c>
      <c r="AO494" s="28">
        <f t="shared" si="74"/>
        <v>0</v>
      </c>
      <c r="AP494" s="28">
        <f t="shared" si="75"/>
        <v>0</v>
      </c>
      <c r="AQ494" s="57" t="s">
        <v>86</v>
      </c>
      <c r="AV494" s="28">
        <f t="shared" si="76"/>
        <v>0</v>
      </c>
      <c r="AW494" s="28">
        <f t="shared" si="77"/>
        <v>0</v>
      </c>
      <c r="AX494" s="28">
        <f t="shared" si="78"/>
        <v>0</v>
      </c>
      <c r="AY494" s="59" t="s">
        <v>949</v>
      </c>
      <c r="AZ494" s="59" t="s">
        <v>964</v>
      </c>
      <c r="BA494" s="56" t="s">
        <v>966</v>
      </c>
      <c r="BC494" s="28">
        <f t="shared" si="79"/>
        <v>0</v>
      </c>
      <c r="BD494" s="28">
        <f t="shared" si="80"/>
        <v>0</v>
      </c>
      <c r="BE494" s="28">
        <v>0</v>
      </c>
      <c r="BF494" s="28">
        <f>494</f>
        <v>494</v>
      </c>
      <c r="BH494" s="60">
        <f t="shared" si="81"/>
        <v>0</v>
      </c>
      <c r="BI494" s="60">
        <f t="shared" si="82"/>
        <v>0</v>
      </c>
      <c r="BJ494" s="60">
        <f t="shared" si="83"/>
        <v>0</v>
      </c>
      <c r="BK494" s="60" t="s">
        <v>971</v>
      </c>
      <c r="BL494" s="28">
        <v>97</v>
      </c>
    </row>
    <row r="495" spans="1:64" x14ac:dyDescent="0.25">
      <c r="A495" s="34" t="s">
        <v>251</v>
      </c>
      <c r="B495" s="41" t="s">
        <v>449</v>
      </c>
      <c r="C495" s="146" t="s">
        <v>874</v>
      </c>
      <c r="D495" s="147"/>
      <c r="E495" s="147"/>
      <c r="F495" s="147"/>
      <c r="G495" s="147"/>
      <c r="H495" s="41" t="s">
        <v>891</v>
      </c>
      <c r="I495" s="76">
        <f>'Stavební rozpočet'!I495</f>
        <v>390.24400000000003</v>
      </c>
      <c r="J495" s="60"/>
      <c r="K495" s="60">
        <f t="shared" si="62"/>
        <v>0</v>
      </c>
      <c r="L495" s="53" t="s">
        <v>906</v>
      </c>
      <c r="M495" s="17"/>
      <c r="Z495" s="28">
        <f t="shared" si="63"/>
        <v>0</v>
      </c>
      <c r="AB495" s="28">
        <f t="shared" si="64"/>
        <v>0</v>
      </c>
      <c r="AC495" s="28">
        <f t="shared" si="65"/>
        <v>0</v>
      </c>
      <c r="AD495" s="28">
        <f t="shared" si="66"/>
        <v>0</v>
      </c>
      <c r="AE495" s="28">
        <f t="shared" si="67"/>
        <v>0</v>
      </c>
      <c r="AF495" s="28">
        <f t="shared" si="68"/>
        <v>0</v>
      </c>
      <c r="AG495" s="28">
        <f t="shared" si="69"/>
        <v>0</v>
      </c>
      <c r="AH495" s="28">
        <f t="shared" si="70"/>
        <v>0</v>
      </c>
      <c r="AI495" s="56" t="s">
        <v>72</v>
      </c>
      <c r="AJ495" s="60">
        <f t="shared" si="71"/>
        <v>0</v>
      </c>
      <c r="AK495" s="60">
        <f t="shared" si="72"/>
        <v>0</v>
      </c>
      <c r="AL495" s="60">
        <f t="shared" si="73"/>
        <v>0</v>
      </c>
      <c r="AN495" s="28">
        <v>21</v>
      </c>
      <c r="AO495" s="28">
        <f t="shared" si="74"/>
        <v>0</v>
      </c>
      <c r="AP495" s="28">
        <f t="shared" si="75"/>
        <v>0</v>
      </c>
      <c r="AQ495" s="57" t="s">
        <v>82</v>
      </c>
      <c r="AV495" s="28">
        <f t="shared" si="76"/>
        <v>0</v>
      </c>
      <c r="AW495" s="28">
        <f t="shared" si="77"/>
        <v>0</v>
      </c>
      <c r="AX495" s="28">
        <f t="shared" si="78"/>
        <v>0</v>
      </c>
      <c r="AY495" s="59" t="s">
        <v>949</v>
      </c>
      <c r="AZ495" s="59" t="s">
        <v>964</v>
      </c>
      <c r="BA495" s="56" t="s">
        <v>966</v>
      </c>
      <c r="BC495" s="28">
        <f t="shared" si="79"/>
        <v>0</v>
      </c>
      <c r="BD495" s="28">
        <f t="shared" si="80"/>
        <v>0</v>
      </c>
      <c r="BE495" s="28">
        <v>0</v>
      </c>
      <c r="BF495" s="28">
        <f>495</f>
        <v>495</v>
      </c>
      <c r="BH495" s="60">
        <f t="shared" si="81"/>
        <v>0</v>
      </c>
      <c r="BI495" s="60">
        <f t="shared" si="82"/>
        <v>0</v>
      </c>
      <c r="BJ495" s="60">
        <f t="shared" si="83"/>
        <v>0</v>
      </c>
      <c r="BK495" s="60" t="s">
        <v>971</v>
      </c>
      <c r="BL495" s="28">
        <v>97</v>
      </c>
    </row>
    <row r="496" spans="1:64" x14ac:dyDescent="0.25">
      <c r="A496" s="17"/>
      <c r="C496" s="148" t="s">
        <v>875</v>
      </c>
      <c r="D496" s="149"/>
      <c r="E496" s="149"/>
      <c r="F496" s="149"/>
      <c r="G496" s="149"/>
      <c r="I496" s="77">
        <v>340.94299999999998</v>
      </c>
      <c r="L496" s="14"/>
      <c r="M496" s="17"/>
    </row>
    <row r="497" spans="1:64" x14ac:dyDescent="0.25">
      <c r="A497" s="17"/>
      <c r="C497" s="148" t="s">
        <v>876</v>
      </c>
      <c r="D497" s="149"/>
      <c r="E497" s="149"/>
      <c r="F497" s="149"/>
      <c r="G497" s="149"/>
      <c r="I497" s="77">
        <v>49.301000000000002</v>
      </c>
      <c r="L497" s="14"/>
      <c r="M497" s="17"/>
    </row>
    <row r="498" spans="1:64" x14ac:dyDescent="0.25">
      <c r="A498" s="34" t="s">
        <v>252</v>
      </c>
      <c r="B498" s="41" t="s">
        <v>450</v>
      </c>
      <c r="C498" s="146" t="s">
        <v>877</v>
      </c>
      <c r="D498" s="147"/>
      <c r="E498" s="147"/>
      <c r="F498" s="147"/>
      <c r="G498" s="147"/>
      <c r="H498" s="41" t="s">
        <v>891</v>
      </c>
      <c r="I498" s="76">
        <f>'Stavební rozpočet'!I498</f>
        <v>152.88800000000001</v>
      </c>
      <c r="J498" s="60"/>
      <c r="K498" s="60">
        <f>I498*J498</f>
        <v>0</v>
      </c>
      <c r="L498" s="53" t="s">
        <v>906</v>
      </c>
      <c r="M498" s="17"/>
      <c r="Z498" s="28">
        <f>IF(AQ498="5",BJ498,0)</f>
        <v>0</v>
      </c>
      <c r="AB498" s="28">
        <f>IF(AQ498="1",BH498,0)</f>
        <v>0</v>
      </c>
      <c r="AC498" s="28">
        <f>IF(AQ498="1",BI498,0)</f>
        <v>0</v>
      </c>
      <c r="AD498" s="28">
        <f>IF(AQ498="7",BH498,0)</f>
        <v>0</v>
      </c>
      <c r="AE498" s="28">
        <f>IF(AQ498="7",BI498,0)</f>
        <v>0</v>
      </c>
      <c r="AF498" s="28">
        <f>IF(AQ498="2",BH498,0)</f>
        <v>0</v>
      </c>
      <c r="AG498" s="28">
        <f>IF(AQ498="2",BI498,0)</f>
        <v>0</v>
      </c>
      <c r="AH498" s="28">
        <f>IF(AQ498="0",BJ498,0)</f>
        <v>0</v>
      </c>
      <c r="AI498" s="56" t="s">
        <v>72</v>
      </c>
      <c r="AJ498" s="60">
        <f>IF(AN498=0,K498,0)</f>
        <v>0</v>
      </c>
      <c r="AK498" s="60">
        <f>IF(AN498=15,K498,0)</f>
        <v>0</v>
      </c>
      <c r="AL498" s="60">
        <f>IF(AN498=21,K498,0)</f>
        <v>0</v>
      </c>
      <c r="AN498" s="28">
        <v>21</v>
      </c>
      <c r="AO498" s="28">
        <f>J498*0</f>
        <v>0</v>
      </c>
      <c r="AP498" s="28">
        <f>J498*(1-0)</f>
        <v>0</v>
      </c>
      <c r="AQ498" s="57" t="s">
        <v>82</v>
      </c>
      <c r="AV498" s="28">
        <f>AW498+AX498</f>
        <v>0</v>
      </c>
      <c r="AW498" s="28">
        <f>I498*AO498</f>
        <v>0</v>
      </c>
      <c r="AX498" s="28">
        <f>I498*AP498</f>
        <v>0</v>
      </c>
      <c r="AY498" s="59" t="s">
        <v>949</v>
      </c>
      <c r="AZ498" s="59" t="s">
        <v>964</v>
      </c>
      <c r="BA498" s="56" t="s">
        <v>966</v>
      </c>
      <c r="BC498" s="28">
        <f>AW498+AX498</f>
        <v>0</v>
      </c>
      <c r="BD498" s="28">
        <f>J498/(100-BE498)*100</f>
        <v>0</v>
      </c>
      <c r="BE498" s="28">
        <v>0</v>
      </c>
      <c r="BF498" s="28">
        <f>498</f>
        <v>498</v>
      </c>
      <c r="BH498" s="60">
        <f>I498*AO498</f>
        <v>0</v>
      </c>
      <c r="BI498" s="60">
        <f>I498*AP498</f>
        <v>0</v>
      </c>
      <c r="BJ498" s="60">
        <f>I498*J498</f>
        <v>0</v>
      </c>
      <c r="BK498" s="60" t="s">
        <v>971</v>
      </c>
      <c r="BL498" s="28">
        <v>97</v>
      </c>
    </row>
    <row r="499" spans="1:64" x14ac:dyDescent="0.25">
      <c r="A499" s="17"/>
      <c r="C499" s="148" t="s">
        <v>571</v>
      </c>
      <c r="D499" s="149"/>
      <c r="E499" s="149"/>
      <c r="F499" s="149"/>
      <c r="G499" s="149"/>
      <c r="I499" s="77">
        <v>152.88800000000001</v>
      </c>
      <c r="L499" s="14"/>
      <c r="M499" s="17"/>
    </row>
    <row r="500" spans="1:64" x14ac:dyDescent="0.25">
      <c r="A500" s="33"/>
      <c r="B500" s="40" t="s">
        <v>451</v>
      </c>
      <c r="C500" s="144" t="s">
        <v>878</v>
      </c>
      <c r="D500" s="145"/>
      <c r="E500" s="145"/>
      <c r="F500" s="145"/>
      <c r="G500" s="145"/>
      <c r="H500" s="46" t="s">
        <v>58</v>
      </c>
      <c r="I500" s="46" t="s">
        <v>58</v>
      </c>
      <c r="J500" s="46" t="s">
        <v>58</v>
      </c>
      <c r="K500" s="65">
        <f>SUM(K501:K502)</f>
        <v>0</v>
      </c>
      <c r="L500" s="52"/>
      <c r="M500" s="17"/>
      <c r="AI500" s="56" t="s">
        <v>72</v>
      </c>
      <c r="AS500" s="65">
        <f>SUM(AJ501:AJ502)</f>
        <v>0</v>
      </c>
      <c r="AT500" s="65">
        <f>SUM(AK501:AK502)</f>
        <v>0</v>
      </c>
      <c r="AU500" s="65">
        <f>SUM(AL501:AL502)</f>
        <v>0</v>
      </c>
    </row>
    <row r="501" spans="1:64" x14ac:dyDescent="0.25">
      <c r="A501" s="34" t="s">
        <v>253</v>
      </c>
      <c r="B501" s="41" t="s">
        <v>452</v>
      </c>
      <c r="C501" s="146" t="s">
        <v>879</v>
      </c>
      <c r="D501" s="147"/>
      <c r="E501" s="147"/>
      <c r="F501" s="147"/>
      <c r="G501" s="147"/>
      <c r="H501" s="41" t="s">
        <v>900</v>
      </c>
      <c r="I501" s="76">
        <f>'Stavební rozpočet'!I501</f>
        <v>1</v>
      </c>
      <c r="J501" s="60"/>
      <c r="K501" s="60">
        <f>I501*J501</f>
        <v>0</v>
      </c>
      <c r="L501" s="53"/>
      <c r="M501" s="17"/>
      <c r="Z501" s="28">
        <f>IF(AQ501="5",BJ501,0)</f>
        <v>0</v>
      </c>
      <c r="AB501" s="28">
        <f>IF(AQ501="1",BH501,0)</f>
        <v>0</v>
      </c>
      <c r="AC501" s="28">
        <f>IF(AQ501="1",BI501,0)</f>
        <v>0</v>
      </c>
      <c r="AD501" s="28">
        <f>IF(AQ501="7",BH501,0)</f>
        <v>0</v>
      </c>
      <c r="AE501" s="28">
        <f>IF(AQ501="7",BI501,0)</f>
        <v>0</v>
      </c>
      <c r="AF501" s="28">
        <f>IF(AQ501="2",BH501,0)</f>
        <v>0</v>
      </c>
      <c r="AG501" s="28">
        <f>IF(AQ501="2",BI501,0)</f>
        <v>0</v>
      </c>
      <c r="AH501" s="28">
        <f>IF(AQ501="0",BJ501,0)</f>
        <v>0</v>
      </c>
      <c r="AI501" s="56" t="s">
        <v>72</v>
      </c>
      <c r="AJ501" s="60">
        <f>IF(AN501=0,K501,0)</f>
        <v>0</v>
      </c>
      <c r="AK501" s="60">
        <f>IF(AN501=15,K501,0)</f>
        <v>0</v>
      </c>
      <c r="AL501" s="60">
        <f>IF(AN501=21,K501,0)</f>
        <v>0</v>
      </c>
      <c r="AN501" s="28">
        <v>21</v>
      </c>
      <c r="AO501" s="28">
        <f>J501*0</f>
        <v>0</v>
      </c>
      <c r="AP501" s="28">
        <f>J501*(1-0)</f>
        <v>0</v>
      </c>
      <c r="AQ501" s="57" t="s">
        <v>82</v>
      </c>
      <c r="AV501" s="28">
        <f>AW501+AX501</f>
        <v>0</v>
      </c>
      <c r="AW501" s="28">
        <f>I501*AO501</f>
        <v>0</v>
      </c>
      <c r="AX501" s="28">
        <f>I501*AP501</f>
        <v>0</v>
      </c>
      <c r="AY501" s="59" t="s">
        <v>950</v>
      </c>
      <c r="AZ501" s="59" t="s">
        <v>964</v>
      </c>
      <c r="BA501" s="56" t="s">
        <v>966</v>
      </c>
      <c r="BC501" s="28">
        <f>AW501+AX501</f>
        <v>0</v>
      </c>
      <c r="BD501" s="28">
        <f>J501/(100-BE501)*100</f>
        <v>0</v>
      </c>
      <c r="BE501" s="28">
        <v>0</v>
      </c>
      <c r="BF501" s="28">
        <f>501</f>
        <v>501</v>
      </c>
      <c r="BH501" s="60">
        <f>I501*AO501</f>
        <v>0</v>
      </c>
      <c r="BI501" s="60">
        <f>I501*AP501</f>
        <v>0</v>
      </c>
      <c r="BJ501" s="60">
        <f>I501*J501</f>
        <v>0</v>
      </c>
      <c r="BK501" s="60" t="s">
        <v>971</v>
      </c>
      <c r="BL501" s="28" t="s">
        <v>451</v>
      </c>
    </row>
    <row r="502" spans="1:64" x14ac:dyDescent="0.25">
      <c r="A502" s="34" t="s">
        <v>254</v>
      </c>
      <c r="B502" s="41" t="s">
        <v>453</v>
      </c>
      <c r="C502" s="146" t="s">
        <v>880</v>
      </c>
      <c r="D502" s="147"/>
      <c r="E502" s="147"/>
      <c r="F502" s="147"/>
      <c r="G502" s="147"/>
      <c r="H502" s="41" t="s">
        <v>900</v>
      </c>
      <c r="I502" s="76">
        <f>'Stavební rozpočet'!I502</f>
        <v>1</v>
      </c>
      <c r="J502" s="60"/>
      <c r="K502" s="60">
        <f>I502*J502</f>
        <v>0</v>
      </c>
      <c r="L502" s="53"/>
      <c r="M502" s="17"/>
      <c r="Z502" s="28">
        <f>IF(AQ502="5",BJ502,0)</f>
        <v>0</v>
      </c>
      <c r="AB502" s="28">
        <f>IF(AQ502="1",BH502,0)</f>
        <v>0</v>
      </c>
      <c r="AC502" s="28">
        <f>IF(AQ502="1",BI502,0)</f>
        <v>0</v>
      </c>
      <c r="AD502" s="28">
        <f>IF(AQ502="7",BH502,0)</f>
        <v>0</v>
      </c>
      <c r="AE502" s="28">
        <f>IF(AQ502="7",BI502,0)</f>
        <v>0</v>
      </c>
      <c r="AF502" s="28">
        <f>IF(AQ502="2",BH502,0)</f>
        <v>0</v>
      </c>
      <c r="AG502" s="28">
        <f>IF(AQ502="2",BI502,0)</f>
        <v>0</v>
      </c>
      <c r="AH502" s="28">
        <f>IF(AQ502="0",BJ502,0)</f>
        <v>0</v>
      </c>
      <c r="AI502" s="56" t="s">
        <v>72</v>
      </c>
      <c r="AJ502" s="60">
        <f>IF(AN502=0,K502,0)</f>
        <v>0</v>
      </c>
      <c r="AK502" s="60">
        <f>IF(AN502=15,K502,0)</f>
        <v>0</v>
      </c>
      <c r="AL502" s="60">
        <f>IF(AN502=21,K502,0)</f>
        <v>0</v>
      </c>
      <c r="AN502" s="28">
        <v>21</v>
      </c>
      <c r="AO502" s="28">
        <f>J502*0.595238095238095</f>
        <v>0</v>
      </c>
      <c r="AP502" s="28">
        <f>J502*(1-0.595238095238095)</f>
        <v>0</v>
      </c>
      <c r="AQ502" s="57" t="s">
        <v>82</v>
      </c>
      <c r="AV502" s="28">
        <f>AW502+AX502</f>
        <v>0</v>
      </c>
      <c r="AW502" s="28">
        <f>I502*AO502</f>
        <v>0</v>
      </c>
      <c r="AX502" s="28">
        <f>I502*AP502</f>
        <v>0</v>
      </c>
      <c r="AY502" s="59" t="s">
        <v>950</v>
      </c>
      <c r="AZ502" s="59" t="s">
        <v>964</v>
      </c>
      <c r="BA502" s="56" t="s">
        <v>966</v>
      </c>
      <c r="BC502" s="28">
        <f>AW502+AX502</f>
        <v>0</v>
      </c>
      <c r="BD502" s="28">
        <f>J502/(100-BE502)*100</f>
        <v>0</v>
      </c>
      <c r="BE502" s="28">
        <v>0</v>
      </c>
      <c r="BF502" s="28">
        <f>502</f>
        <v>502</v>
      </c>
      <c r="BH502" s="60">
        <f>I502*AO502</f>
        <v>0</v>
      </c>
      <c r="BI502" s="60">
        <f>I502*AP502</f>
        <v>0</v>
      </c>
      <c r="BJ502" s="60">
        <f>I502*J502</f>
        <v>0</v>
      </c>
      <c r="BK502" s="60" t="s">
        <v>971</v>
      </c>
      <c r="BL502" s="28" t="s">
        <v>451</v>
      </c>
    </row>
    <row r="503" spans="1:64" x14ac:dyDescent="0.25">
      <c r="A503" s="33"/>
      <c r="B503" s="40" t="s">
        <v>454</v>
      </c>
      <c r="C503" s="144" t="s">
        <v>881</v>
      </c>
      <c r="D503" s="145"/>
      <c r="E503" s="145"/>
      <c r="F503" s="145"/>
      <c r="G503" s="145"/>
      <c r="H503" s="46" t="s">
        <v>58</v>
      </c>
      <c r="I503" s="46" t="s">
        <v>58</v>
      </c>
      <c r="J503" s="46" t="s">
        <v>58</v>
      </c>
      <c r="K503" s="65">
        <f>SUM(K504:K504)</f>
        <v>0</v>
      </c>
      <c r="L503" s="52"/>
      <c r="M503" s="17"/>
      <c r="AI503" s="56" t="s">
        <v>72</v>
      </c>
      <c r="AS503" s="65">
        <f>SUM(AJ504:AJ504)</f>
        <v>0</v>
      </c>
      <c r="AT503" s="65">
        <f>SUM(AK504:AK504)</f>
        <v>0</v>
      </c>
      <c r="AU503" s="65">
        <f>SUM(AL504:AL504)</f>
        <v>0</v>
      </c>
    </row>
    <row r="504" spans="1:64" x14ac:dyDescent="0.25">
      <c r="A504" s="34" t="s">
        <v>255</v>
      </c>
      <c r="B504" s="41" t="s">
        <v>455</v>
      </c>
      <c r="C504" s="146" t="s">
        <v>882</v>
      </c>
      <c r="D504" s="147"/>
      <c r="E504" s="147"/>
      <c r="F504" s="147"/>
      <c r="G504" s="147"/>
      <c r="H504" s="41" t="s">
        <v>897</v>
      </c>
      <c r="I504" s="76">
        <f>'Stavební rozpočet'!I504</f>
        <v>2</v>
      </c>
      <c r="J504" s="60"/>
      <c r="K504" s="60">
        <f>I504*J504</f>
        <v>0</v>
      </c>
      <c r="L504" s="53" t="s">
        <v>906</v>
      </c>
      <c r="M504" s="17"/>
      <c r="Z504" s="28">
        <f>IF(AQ504="5",BJ504,0)</f>
        <v>0</v>
      </c>
      <c r="AB504" s="28">
        <f>IF(AQ504="1",BH504,0)</f>
        <v>0</v>
      </c>
      <c r="AC504" s="28">
        <f>IF(AQ504="1",BI504,0)</f>
        <v>0</v>
      </c>
      <c r="AD504" s="28">
        <f>IF(AQ504="7",BH504,0)</f>
        <v>0</v>
      </c>
      <c r="AE504" s="28">
        <f>IF(AQ504="7",BI504,0)</f>
        <v>0</v>
      </c>
      <c r="AF504" s="28">
        <f>IF(AQ504="2",BH504,0)</f>
        <v>0</v>
      </c>
      <c r="AG504" s="28">
        <f>IF(AQ504="2",BI504,0)</f>
        <v>0</v>
      </c>
      <c r="AH504" s="28">
        <f>IF(AQ504="0",BJ504,0)</f>
        <v>0</v>
      </c>
      <c r="AI504" s="56" t="s">
        <v>72</v>
      </c>
      <c r="AJ504" s="60">
        <f>IF(AN504=0,K504,0)</f>
        <v>0</v>
      </c>
      <c r="AK504" s="60">
        <f>IF(AN504=15,K504,0)</f>
        <v>0</v>
      </c>
      <c r="AL504" s="60">
        <f>IF(AN504=21,K504,0)</f>
        <v>0</v>
      </c>
      <c r="AN504" s="28">
        <v>21</v>
      </c>
      <c r="AO504" s="28">
        <f>J504*1</f>
        <v>0</v>
      </c>
      <c r="AP504" s="28">
        <f>J504*(1-1)</f>
        <v>0</v>
      </c>
      <c r="AQ504" s="57" t="s">
        <v>82</v>
      </c>
      <c r="AV504" s="28">
        <f>AW504+AX504</f>
        <v>0</v>
      </c>
      <c r="AW504" s="28">
        <f>I504*AO504</f>
        <v>0</v>
      </c>
      <c r="AX504" s="28">
        <f>I504*AP504</f>
        <v>0</v>
      </c>
      <c r="AY504" s="59" t="s">
        <v>951</v>
      </c>
      <c r="AZ504" s="59" t="s">
        <v>964</v>
      </c>
      <c r="BA504" s="56" t="s">
        <v>966</v>
      </c>
      <c r="BC504" s="28">
        <f>AW504+AX504</f>
        <v>0</v>
      </c>
      <c r="BD504" s="28">
        <f>J504/(100-BE504)*100</f>
        <v>0</v>
      </c>
      <c r="BE504" s="28">
        <v>0</v>
      </c>
      <c r="BF504" s="28">
        <f>504</f>
        <v>504</v>
      </c>
      <c r="BH504" s="60">
        <f>I504*AO504</f>
        <v>0</v>
      </c>
      <c r="BI504" s="60">
        <f>I504*AP504</f>
        <v>0</v>
      </c>
      <c r="BJ504" s="60">
        <f>I504*J504</f>
        <v>0</v>
      </c>
      <c r="BK504" s="60" t="s">
        <v>971</v>
      </c>
      <c r="BL504" s="28" t="s">
        <v>454</v>
      </c>
    </row>
    <row r="505" spans="1:64" x14ac:dyDescent="0.25">
      <c r="A505" s="33"/>
      <c r="B505" s="40"/>
      <c r="C505" s="144" t="s">
        <v>883</v>
      </c>
      <c r="D505" s="145"/>
      <c r="E505" s="145"/>
      <c r="F505" s="145"/>
      <c r="G505" s="145"/>
      <c r="H505" s="46" t="s">
        <v>58</v>
      </c>
      <c r="I505" s="46" t="s">
        <v>58</v>
      </c>
      <c r="J505" s="46" t="s">
        <v>58</v>
      </c>
      <c r="K505" s="65">
        <f>SUM(K506:K511)</f>
        <v>0</v>
      </c>
      <c r="L505" s="52"/>
      <c r="M505" s="17"/>
      <c r="AI505" s="56" t="s">
        <v>72</v>
      </c>
      <c r="AS505" s="65">
        <f>SUM(AJ506:AJ511)</f>
        <v>0</v>
      </c>
      <c r="AT505" s="65">
        <f>SUM(AK506:AK511)</f>
        <v>0</v>
      </c>
      <c r="AU505" s="65">
        <f>SUM(AL506:AL511)</f>
        <v>0</v>
      </c>
    </row>
    <row r="506" spans="1:64" x14ac:dyDescent="0.25">
      <c r="A506" s="34" t="s">
        <v>256</v>
      </c>
      <c r="B506" s="41" t="s">
        <v>456</v>
      </c>
      <c r="C506" s="146" t="s">
        <v>884</v>
      </c>
      <c r="D506" s="147"/>
      <c r="E506" s="147"/>
      <c r="F506" s="147"/>
      <c r="G506" s="147"/>
      <c r="H506" s="41" t="s">
        <v>897</v>
      </c>
      <c r="I506" s="76">
        <f>'Stavební rozpočet'!I506</f>
        <v>1</v>
      </c>
      <c r="J506" s="60"/>
      <c r="K506" s="60">
        <f t="shared" ref="K506:K511" si="84">I506*J506</f>
        <v>0</v>
      </c>
      <c r="L506" s="53" t="s">
        <v>906</v>
      </c>
      <c r="M506" s="17"/>
      <c r="Z506" s="28">
        <f t="shared" ref="Z506:Z511" si="85">IF(AQ506="5",BJ506,0)</f>
        <v>0</v>
      </c>
      <c r="AB506" s="28">
        <f t="shared" ref="AB506:AB511" si="86">IF(AQ506="1",BH506,0)</f>
        <v>0</v>
      </c>
      <c r="AC506" s="28">
        <f t="shared" ref="AC506:AC511" si="87">IF(AQ506="1",BI506,0)</f>
        <v>0</v>
      </c>
      <c r="AD506" s="28">
        <f t="shared" ref="AD506:AD511" si="88">IF(AQ506="7",BH506,0)</f>
        <v>0</v>
      </c>
      <c r="AE506" s="28">
        <f t="shared" ref="AE506:AE511" si="89">IF(AQ506="7",BI506,0)</f>
        <v>0</v>
      </c>
      <c r="AF506" s="28">
        <f t="shared" ref="AF506:AF511" si="90">IF(AQ506="2",BH506,0)</f>
        <v>0</v>
      </c>
      <c r="AG506" s="28">
        <f t="shared" ref="AG506:AG511" si="91">IF(AQ506="2",BI506,0)</f>
        <v>0</v>
      </c>
      <c r="AH506" s="28">
        <f t="shared" ref="AH506:AH511" si="92">IF(AQ506="0",BJ506,0)</f>
        <v>0</v>
      </c>
      <c r="AI506" s="56" t="s">
        <v>72</v>
      </c>
      <c r="AJ506" s="60">
        <f t="shared" ref="AJ506:AJ511" si="93">IF(AN506=0,K506,0)</f>
        <v>0</v>
      </c>
      <c r="AK506" s="60">
        <f t="shared" ref="AK506:AK511" si="94">IF(AN506=15,K506,0)</f>
        <v>0</v>
      </c>
      <c r="AL506" s="60">
        <f t="shared" ref="AL506:AL511" si="95">IF(AN506=21,K506,0)</f>
        <v>0</v>
      </c>
      <c r="AN506" s="28">
        <v>21</v>
      </c>
      <c r="AO506" s="28">
        <f t="shared" ref="AO506:AO511" si="96">J506*1</f>
        <v>0</v>
      </c>
      <c r="AP506" s="28">
        <f t="shared" ref="AP506:AP511" si="97">J506*(1-1)</f>
        <v>0</v>
      </c>
      <c r="AQ506" s="57" t="s">
        <v>82</v>
      </c>
      <c r="AV506" s="28">
        <f t="shared" ref="AV506:AV511" si="98">AW506+AX506</f>
        <v>0</v>
      </c>
      <c r="AW506" s="28">
        <f t="shared" ref="AW506:AW511" si="99">I506*AO506</f>
        <v>0</v>
      </c>
      <c r="AX506" s="28">
        <f t="shared" ref="AX506:AX511" si="100">I506*AP506</f>
        <v>0</v>
      </c>
      <c r="AY506" s="59" t="s">
        <v>952</v>
      </c>
      <c r="AZ506" s="59" t="s">
        <v>965</v>
      </c>
      <c r="BA506" s="56" t="s">
        <v>966</v>
      </c>
      <c r="BC506" s="28">
        <f t="shared" ref="BC506:BC511" si="101">AW506+AX506</f>
        <v>0</v>
      </c>
      <c r="BD506" s="28">
        <f t="shared" ref="BD506:BD511" si="102">J506/(100-BE506)*100</f>
        <v>0</v>
      </c>
      <c r="BE506" s="28">
        <v>0</v>
      </c>
      <c r="BF506" s="28">
        <f>506</f>
        <v>506</v>
      </c>
      <c r="BH506" s="60">
        <f t="shared" ref="BH506:BH511" si="103">I506*AO506</f>
        <v>0</v>
      </c>
      <c r="BI506" s="60">
        <f t="shared" ref="BI506:BI511" si="104">I506*AP506</f>
        <v>0</v>
      </c>
      <c r="BJ506" s="60">
        <f t="shared" ref="BJ506:BJ511" si="105">I506*J506</f>
        <v>0</v>
      </c>
      <c r="BK506" s="60" t="s">
        <v>971</v>
      </c>
      <c r="BL506" s="28"/>
    </row>
    <row r="507" spans="1:64" x14ac:dyDescent="0.25">
      <c r="A507" s="34" t="s">
        <v>257</v>
      </c>
      <c r="B507" s="41" t="s">
        <v>457</v>
      </c>
      <c r="C507" s="146" t="s">
        <v>885</v>
      </c>
      <c r="D507" s="147"/>
      <c r="E507" s="147"/>
      <c r="F507" s="147"/>
      <c r="G507" s="147"/>
      <c r="H507" s="41" t="s">
        <v>895</v>
      </c>
      <c r="I507" s="76">
        <f>'Stavební rozpočet'!I507</f>
        <v>10.5</v>
      </c>
      <c r="J507" s="60"/>
      <c r="K507" s="60">
        <f t="shared" si="84"/>
        <v>0</v>
      </c>
      <c r="L507" s="53" t="s">
        <v>906</v>
      </c>
      <c r="M507" s="17"/>
      <c r="Z507" s="28">
        <f t="shared" si="85"/>
        <v>0</v>
      </c>
      <c r="AB507" s="28">
        <f t="shared" si="86"/>
        <v>0</v>
      </c>
      <c r="AC507" s="28">
        <f t="shared" si="87"/>
        <v>0</v>
      </c>
      <c r="AD507" s="28">
        <f t="shared" si="88"/>
        <v>0</v>
      </c>
      <c r="AE507" s="28">
        <f t="shared" si="89"/>
        <v>0</v>
      </c>
      <c r="AF507" s="28">
        <f t="shared" si="90"/>
        <v>0</v>
      </c>
      <c r="AG507" s="28">
        <f t="shared" si="91"/>
        <v>0</v>
      </c>
      <c r="AH507" s="28">
        <f t="shared" si="92"/>
        <v>0</v>
      </c>
      <c r="AI507" s="56" t="s">
        <v>72</v>
      </c>
      <c r="AJ507" s="60">
        <f t="shared" si="93"/>
        <v>0</v>
      </c>
      <c r="AK507" s="60">
        <f t="shared" si="94"/>
        <v>0</v>
      </c>
      <c r="AL507" s="60">
        <f t="shared" si="95"/>
        <v>0</v>
      </c>
      <c r="AN507" s="28">
        <v>21</v>
      </c>
      <c r="AO507" s="28">
        <f t="shared" si="96"/>
        <v>0</v>
      </c>
      <c r="AP507" s="28">
        <f t="shared" si="97"/>
        <v>0</v>
      </c>
      <c r="AQ507" s="57" t="s">
        <v>82</v>
      </c>
      <c r="AV507" s="28">
        <f t="shared" si="98"/>
        <v>0</v>
      </c>
      <c r="AW507" s="28">
        <f t="shared" si="99"/>
        <v>0</v>
      </c>
      <c r="AX507" s="28">
        <f t="shared" si="100"/>
        <v>0</v>
      </c>
      <c r="AY507" s="59" t="s">
        <v>952</v>
      </c>
      <c r="AZ507" s="59" t="s">
        <v>965</v>
      </c>
      <c r="BA507" s="56" t="s">
        <v>966</v>
      </c>
      <c r="BC507" s="28">
        <f t="shared" si="101"/>
        <v>0</v>
      </c>
      <c r="BD507" s="28">
        <f t="shared" si="102"/>
        <v>0</v>
      </c>
      <c r="BE507" s="28">
        <v>0</v>
      </c>
      <c r="BF507" s="28">
        <f>507</f>
        <v>507</v>
      </c>
      <c r="BH507" s="60">
        <f t="shared" si="103"/>
        <v>0</v>
      </c>
      <c r="BI507" s="60">
        <f t="shared" si="104"/>
        <v>0</v>
      </c>
      <c r="BJ507" s="60">
        <f t="shared" si="105"/>
        <v>0</v>
      </c>
      <c r="BK507" s="60" t="s">
        <v>971</v>
      </c>
      <c r="BL507" s="28"/>
    </row>
    <row r="508" spans="1:64" x14ac:dyDescent="0.25">
      <c r="A508" s="34" t="s">
        <v>258</v>
      </c>
      <c r="B508" s="41" t="s">
        <v>458</v>
      </c>
      <c r="C508" s="146" t="s">
        <v>886</v>
      </c>
      <c r="D508" s="147"/>
      <c r="E508" s="147"/>
      <c r="F508" s="147"/>
      <c r="G508" s="147"/>
      <c r="H508" s="41" t="s">
        <v>895</v>
      </c>
      <c r="I508" s="76">
        <f>'Stavební rozpočet'!I508</f>
        <v>7.3</v>
      </c>
      <c r="J508" s="60"/>
      <c r="K508" s="60">
        <f t="shared" si="84"/>
        <v>0</v>
      </c>
      <c r="L508" s="53" t="s">
        <v>906</v>
      </c>
      <c r="M508" s="17"/>
      <c r="Z508" s="28">
        <f t="shared" si="85"/>
        <v>0</v>
      </c>
      <c r="AB508" s="28">
        <f t="shared" si="86"/>
        <v>0</v>
      </c>
      <c r="AC508" s="28">
        <f t="shared" si="87"/>
        <v>0</v>
      </c>
      <c r="AD508" s="28">
        <f t="shared" si="88"/>
        <v>0</v>
      </c>
      <c r="AE508" s="28">
        <f t="shared" si="89"/>
        <v>0</v>
      </c>
      <c r="AF508" s="28">
        <f t="shared" si="90"/>
        <v>0</v>
      </c>
      <c r="AG508" s="28">
        <f t="shared" si="91"/>
        <v>0</v>
      </c>
      <c r="AH508" s="28">
        <f t="shared" si="92"/>
        <v>0</v>
      </c>
      <c r="AI508" s="56" t="s">
        <v>72</v>
      </c>
      <c r="AJ508" s="60">
        <f t="shared" si="93"/>
        <v>0</v>
      </c>
      <c r="AK508" s="60">
        <f t="shared" si="94"/>
        <v>0</v>
      </c>
      <c r="AL508" s="60">
        <f t="shared" si="95"/>
        <v>0</v>
      </c>
      <c r="AN508" s="28">
        <v>21</v>
      </c>
      <c r="AO508" s="28">
        <f t="shared" si="96"/>
        <v>0</v>
      </c>
      <c r="AP508" s="28">
        <f t="shared" si="97"/>
        <v>0</v>
      </c>
      <c r="AQ508" s="57" t="s">
        <v>82</v>
      </c>
      <c r="AV508" s="28">
        <f t="shared" si="98"/>
        <v>0</v>
      </c>
      <c r="AW508" s="28">
        <f t="shared" si="99"/>
        <v>0</v>
      </c>
      <c r="AX508" s="28">
        <f t="shared" si="100"/>
        <v>0</v>
      </c>
      <c r="AY508" s="59" t="s">
        <v>952</v>
      </c>
      <c r="AZ508" s="59" t="s">
        <v>965</v>
      </c>
      <c r="BA508" s="56" t="s">
        <v>966</v>
      </c>
      <c r="BC508" s="28">
        <f t="shared" si="101"/>
        <v>0</v>
      </c>
      <c r="BD508" s="28">
        <f t="shared" si="102"/>
        <v>0</v>
      </c>
      <c r="BE508" s="28">
        <v>0</v>
      </c>
      <c r="BF508" s="28">
        <f>508</f>
        <v>508</v>
      </c>
      <c r="BH508" s="60">
        <f t="shared" si="103"/>
        <v>0</v>
      </c>
      <c r="BI508" s="60">
        <f t="shared" si="104"/>
        <v>0</v>
      </c>
      <c r="BJ508" s="60">
        <f t="shared" si="105"/>
        <v>0</v>
      </c>
      <c r="BK508" s="60" t="s">
        <v>971</v>
      </c>
      <c r="BL508" s="28"/>
    </row>
    <row r="509" spans="1:64" x14ac:dyDescent="0.25">
      <c r="A509" s="34" t="s">
        <v>259</v>
      </c>
      <c r="B509" s="41" t="s">
        <v>459</v>
      </c>
      <c r="C509" s="146" t="s">
        <v>887</v>
      </c>
      <c r="D509" s="147"/>
      <c r="E509" s="147"/>
      <c r="F509" s="147"/>
      <c r="G509" s="147"/>
      <c r="H509" s="41" t="s">
        <v>895</v>
      </c>
      <c r="I509" s="76">
        <f>'Stavební rozpočet'!I509</f>
        <v>10.5</v>
      </c>
      <c r="J509" s="60"/>
      <c r="K509" s="60">
        <f t="shared" si="84"/>
        <v>0</v>
      </c>
      <c r="L509" s="53" t="s">
        <v>906</v>
      </c>
      <c r="M509" s="17"/>
      <c r="Z509" s="28">
        <f t="shared" si="85"/>
        <v>0</v>
      </c>
      <c r="AB509" s="28">
        <f t="shared" si="86"/>
        <v>0</v>
      </c>
      <c r="AC509" s="28">
        <f t="shared" si="87"/>
        <v>0</v>
      </c>
      <c r="AD509" s="28">
        <f t="shared" si="88"/>
        <v>0</v>
      </c>
      <c r="AE509" s="28">
        <f t="shared" si="89"/>
        <v>0</v>
      </c>
      <c r="AF509" s="28">
        <f t="shared" si="90"/>
        <v>0</v>
      </c>
      <c r="AG509" s="28">
        <f t="shared" si="91"/>
        <v>0</v>
      </c>
      <c r="AH509" s="28">
        <f t="shared" si="92"/>
        <v>0</v>
      </c>
      <c r="AI509" s="56" t="s">
        <v>72</v>
      </c>
      <c r="AJ509" s="60">
        <f t="shared" si="93"/>
        <v>0</v>
      </c>
      <c r="AK509" s="60">
        <f t="shared" si="94"/>
        <v>0</v>
      </c>
      <c r="AL509" s="60">
        <f t="shared" si="95"/>
        <v>0</v>
      </c>
      <c r="AN509" s="28">
        <v>21</v>
      </c>
      <c r="AO509" s="28">
        <f t="shared" si="96"/>
        <v>0</v>
      </c>
      <c r="AP509" s="28">
        <f t="shared" si="97"/>
        <v>0</v>
      </c>
      <c r="AQ509" s="57" t="s">
        <v>82</v>
      </c>
      <c r="AV509" s="28">
        <f t="shared" si="98"/>
        <v>0</v>
      </c>
      <c r="AW509" s="28">
        <f t="shared" si="99"/>
        <v>0</v>
      </c>
      <c r="AX509" s="28">
        <f t="shared" si="100"/>
        <v>0</v>
      </c>
      <c r="AY509" s="59" t="s">
        <v>952</v>
      </c>
      <c r="AZ509" s="59" t="s">
        <v>965</v>
      </c>
      <c r="BA509" s="56" t="s">
        <v>966</v>
      </c>
      <c r="BC509" s="28">
        <f t="shared" si="101"/>
        <v>0</v>
      </c>
      <c r="BD509" s="28">
        <f t="shared" si="102"/>
        <v>0</v>
      </c>
      <c r="BE509" s="28">
        <v>0</v>
      </c>
      <c r="BF509" s="28">
        <f>509</f>
        <v>509</v>
      </c>
      <c r="BH509" s="60">
        <f t="shared" si="103"/>
        <v>0</v>
      </c>
      <c r="BI509" s="60">
        <f t="shared" si="104"/>
        <v>0</v>
      </c>
      <c r="BJ509" s="60">
        <f t="shared" si="105"/>
        <v>0</v>
      </c>
      <c r="BK509" s="60" t="s">
        <v>971</v>
      </c>
      <c r="BL509" s="28"/>
    </row>
    <row r="510" spans="1:64" x14ac:dyDescent="0.25">
      <c r="A510" s="34" t="s">
        <v>260</v>
      </c>
      <c r="B510" s="41" t="s">
        <v>460</v>
      </c>
      <c r="C510" s="146" t="s">
        <v>888</v>
      </c>
      <c r="D510" s="147"/>
      <c r="E510" s="147"/>
      <c r="F510" s="147"/>
      <c r="G510" s="147"/>
      <c r="H510" s="41" t="s">
        <v>897</v>
      </c>
      <c r="I510" s="76">
        <f>'Stavební rozpočet'!I510</f>
        <v>1</v>
      </c>
      <c r="J510" s="60"/>
      <c r="K510" s="60">
        <f t="shared" si="84"/>
        <v>0</v>
      </c>
      <c r="L510" s="53" t="s">
        <v>906</v>
      </c>
      <c r="M510" s="17"/>
      <c r="Z510" s="28">
        <f t="shared" si="85"/>
        <v>0</v>
      </c>
      <c r="AB510" s="28">
        <f t="shared" si="86"/>
        <v>0</v>
      </c>
      <c r="AC510" s="28">
        <f t="shared" si="87"/>
        <v>0</v>
      </c>
      <c r="AD510" s="28">
        <f t="shared" si="88"/>
        <v>0</v>
      </c>
      <c r="AE510" s="28">
        <f t="shared" si="89"/>
        <v>0</v>
      </c>
      <c r="AF510" s="28">
        <f t="shared" si="90"/>
        <v>0</v>
      </c>
      <c r="AG510" s="28">
        <f t="shared" si="91"/>
        <v>0</v>
      </c>
      <c r="AH510" s="28">
        <f t="shared" si="92"/>
        <v>0</v>
      </c>
      <c r="AI510" s="56" t="s">
        <v>72</v>
      </c>
      <c r="AJ510" s="60">
        <f t="shared" si="93"/>
        <v>0</v>
      </c>
      <c r="AK510" s="60">
        <f t="shared" si="94"/>
        <v>0</v>
      </c>
      <c r="AL510" s="60">
        <f t="shared" si="95"/>
        <v>0</v>
      </c>
      <c r="AN510" s="28">
        <v>21</v>
      </c>
      <c r="AO510" s="28">
        <f t="shared" si="96"/>
        <v>0</v>
      </c>
      <c r="AP510" s="28">
        <f t="shared" si="97"/>
        <v>0</v>
      </c>
      <c r="AQ510" s="57" t="s">
        <v>82</v>
      </c>
      <c r="AV510" s="28">
        <f t="shared" si="98"/>
        <v>0</v>
      </c>
      <c r="AW510" s="28">
        <f t="shared" si="99"/>
        <v>0</v>
      </c>
      <c r="AX510" s="28">
        <f t="shared" si="100"/>
        <v>0</v>
      </c>
      <c r="AY510" s="59" t="s">
        <v>952</v>
      </c>
      <c r="AZ510" s="59" t="s">
        <v>965</v>
      </c>
      <c r="BA510" s="56" t="s">
        <v>966</v>
      </c>
      <c r="BC510" s="28">
        <f t="shared" si="101"/>
        <v>0</v>
      </c>
      <c r="BD510" s="28">
        <f t="shared" si="102"/>
        <v>0</v>
      </c>
      <c r="BE510" s="28">
        <v>0</v>
      </c>
      <c r="BF510" s="28">
        <f>510</f>
        <v>510</v>
      </c>
      <c r="BH510" s="60">
        <f t="shared" si="103"/>
        <v>0</v>
      </c>
      <c r="BI510" s="60">
        <f t="shared" si="104"/>
        <v>0</v>
      </c>
      <c r="BJ510" s="60">
        <f t="shared" si="105"/>
        <v>0</v>
      </c>
      <c r="BK510" s="60" t="s">
        <v>971</v>
      </c>
      <c r="BL510" s="28"/>
    </row>
    <row r="511" spans="1:64" x14ac:dyDescent="0.25">
      <c r="A511" s="36" t="s">
        <v>79</v>
      </c>
      <c r="B511" s="44" t="s">
        <v>461</v>
      </c>
      <c r="C511" s="161" t="s">
        <v>889</v>
      </c>
      <c r="D511" s="162"/>
      <c r="E511" s="162"/>
      <c r="F511" s="162"/>
      <c r="G511" s="162"/>
      <c r="H511" s="44" t="s">
        <v>897</v>
      </c>
      <c r="I511" s="82">
        <f>'Stavební rozpočet'!I511</f>
        <v>1</v>
      </c>
      <c r="J511" s="63"/>
      <c r="K511" s="63">
        <f t="shared" si="84"/>
        <v>0</v>
      </c>
      <c r="L511" s="55" t="s">
        <v>906</v>
      </c>
      <c r="M511" s="17"/>
      <c r="Z511" s="28">
        <f t="shared" si="85"/>
        <v>0</v>
      </c>
      <c r="AB511" s="28">
        <f t="shared" si="86"/>
        <v>0</v>
      </c>
      <c r="AC511" s="28">
        <f t="shared" si="87"/>
        <v>0</v>
      </c>
      <c r="AD511" s="28">
        <f t="shared" si="88"/>
        <v>0</v>
      </c>
      <c r="AE511" s="28">
        <f t="shared" si="89"/>
        <v>0</v>
      </c>
      <c r="AF511" s="28">
        <f t="shared" si="90"/>
        <v>0</v>
      </c>
      <c r="AG511" s="28">
        <f t="shared" si="91"/>
        <v>0</v>
      </c>
      <c r="AH511" s="28">
        <f t="shared" si="92"/>
        <v>0</v>
      </c>
      <c r="AI511" s="56" t="s">
        <v>72</v>
      </c>
      <c r="AJ511" s="60">
        <f t="shared" si="93"/>
        <v>0</v>
      </c>
      <c r="AK511" s="60">
        <f t="shared" si="94"/>
        <v>0</v>
      </c>
      <c r="AL511" s="60">
        <f t="shared" si="95"/>
        <v>0</v>
      </c>
      <c r="AN511" s="28">
        <v>21</v>
      </c>
      <c r="AO511" s="28">
        <f t="shared" si="96"/>
        <v>0</v>
      </c>
      <c r="AP511" s="28">
        <f t="shared" si="97"/>
        <v>0</v>
      </c>
      <c r="AQ511" s="57" t="s">
        <v>82</v>
      </c>
      <c r="AV511" s="28">
        <f t="shared" si="98"/>
        <v>0</v>
      </c>
      <c r="AW511" s="28">
        <f t="shared" si="99"/>
        <v>0</v>
      </c>
      <c r="AX511" s="28">
        <f t="shared" si="100"/>
        <v>0</v>
      </c>
      <c r="AY511" s="59" t="s">
        <v>952</v>
      </c>
      <c r="AZ511" s="59" t="s">
        <v>965</v>
      </c>
      <c r="BA511" s="56" t="s">
        <v>966</v>
      </c>
      <c r="BC511" s="28">
        <f t="shared" si="101"/>
        <v>0</v>
      </c>
      <c r="BD511" s="28">
        <f t="shared" si="102"/>
        <v>0</v>
      </c>
      <c r="BE511" s="28">
        <v>0</v>
      </c>
      <c r="BF511" s="28">
        <f>511</f>
        <v>511</v>
      </c>
      <c r="BH511" s="60">
        <f t="shared" si="103"/>
        <v>0</v>
      </c>
      <c r="BI511" s="60">
        <f t="shared" si="104"/>
        <v>0</v>
      </c>
      <c r="BJ511" s="60">
        <f t="shared" si="105"/>
        <v>0</v>
      </c>
      <c r="BK511" s="60" t="s">
        <v>971</v>
      </c>
      <c r="BL511" s="28"/>
    </row>
    <row r="512" spans="1:64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27">
        <f>ROUND(K13+K16+K19+K25+K28+K49+K83+K106+K121+K126+K133+K140+K158+K171+K189+K204+K244+K259+K263+K290+K301+K312+K328+K345+K353+K374+K388+K398+K413+K427+K429+K444+K463+K485+K500+K503+K505,1)</f>
        <v>0</v>
      </c>
      <c r="L512" s="5"/>
    </row>
    <row r="513" spans="1:12" ht="11.25" customHeight="1" x14ac:dyDescent="0.25">
      <c r="A513" s="20" t="s">
        <v>18</v>
      </c>
    </row>
    <row r="514" spans="1:12" x14ac:dyDescent="0.25">
      <c r="A514" s="103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</sheetData>
  <mergeCells count="528">
    <mergeCell ref="C508:G508"/>
    <mergeCell ref="C509:G509"/>
    <mergeCell ref="C510:G510"/>
    <mergeCell ref="C511:G511"/>
    <mergeCell ref="A514:L514"/>
    <mergeCell ref="C502:G502"/>
    <mergeCell ref="C503:G503"/>
    <mergeCell ref="C504:G504"/>
    <mergeCell ref="C505:G505"/>
    <mergeCell ref="C506:G506"/>
    <mergeCell ref="C507:G507"/>
    <mergeCell ref="C496:G496"/>
    <mergeCell ref="C497:G497"/>
    <mergeCell ref="C498:G498"/>
    <mergeCell ref="C499:G499"/>
    <mergeCell ref="C500:G500"/>
    <mergeCell ref="C501:G501"/>
    <mergeCell ref="C490:G490"/>
    <mergeCell ref="C491:G491"/>
    <mergeCell ref="C492:G492"/>
    <mergeCell ref="C493:G493"/>
    <mergeCell ref="C494:G494"/>
    <mergeCell ref="C495:G495"/>
    <mergeCell ref="C484:G484"/>
    <mergeCell ref="C485:G485"/>
    <mergeCell ref="C486:G486"/>
    <mergeCell ref="C487:G487"/>
    <mergeCell ref="C488:G488"/>
    <mergeCell ref="C489:G489"/>
    <mergeCell ref="C478:G478"/>
    <mergeCell ref="C479:G479"/>
    <mergeCell ref="C480:G480"/>
    <mergeCell ref="C481:L481"/>
    <mergeCell ref="C482:G482"/>
    <mergeCell ref="C483:G483"/>
    <mergeCell ref="C472:G472"/>
    <mergeCell ref="C473:G473"/>
    <mergeCell ref="C474:G474"/>
    <mergeCell ref="C475:G475"/>
    <mergeCell ref="C476:G476"/>
    <mergeCell ref="C477:G477"/>
    <mergeCell ref="C466:G466"/>
    <mergeCell ref="C467:G467"/>
    <mergeCell ref="C468:G468"/>
    <mergeCell ref="C469:G469"/>
    <mergeCell ref="C470:G470"/>
    <mergeCell ref="C471:G471"/>
    <mergeCell ref="C460:G460"/>
    <mergeCell ref="C461:G461"/>
    <mergeCell ref="C462:G462"/>
    <mergeCell ref="C463:G463"/>
    <mergeCell ref="C464:G464"/>
    <mergeCell ref="C465:G465"/>
    <mergeCell ref="C454:G454"/>
    <mergeCell ref="C455:G455"/>
    <mergeCell ref="C456:G456"/>
    <mergeCell ref="C457:G457"/>
    <mergeCell ref="C458:G458"/>
    <mergeCell ref="C459:G459"/>
    <mergeCell ref="C448:G448"/>
    <mergeCell ref="C449:G449"/>
    <mergeCell ref="C450:G450"/>
    <mergeCell ref="C451:G451"/>
    <mergeCell ref="C452:G452"/>
    <mergeCell ref="C453:G453"/>
    <mergeCell ref="C442:G442"/>
    <mergeCell ref="C443:G443"/>
    <mergeCell ref="C444:G444"/>
    <mergeCell ref="C445:G445"/>
    <mergeCell ref="C446:G446"/>
    <mergeCell ref="C447:G447"/>
    <mergeCell ref="C436:G436"/>
    <mergeCell ref="C437:G437"/>
    <mergeCell ref="C438:G438"/>
    <mergeCell ref="C439:G439"/>
    <mergeCell ref="C440:G440"/>
    <mergeCell ref="C441:G441"/>
    <mergeCell ref="C430:G430"/>
    <mergeCell ref="C431:G431"/>
    <mergeCell ref="C432:G432"/>
    <mergeCell ref="C433:G433"/>
    <mergeCell ref="C434:G434"/>
    <mergeCell ref="C435:G435"/>
    <mergeCell ref="C424:G424"/>
    <mergeCell ref="C425:G425"/>
    <mergeCell ref="C426:G426"/>
    <mergeCell ref="C427:G427"/>
    <mergeCell ref="C428:G428"/>
    <mergeCell ref="C429:G429"/>
    <mergeCell ref="C418:G418"/>
    <mergeCell ref="C419:G419"/>
    <mergeCell ref="C420:G420"/>
    <mergeCell ref="C421:G421"/>
    <mergeCell ref="C422:G422"/>
    <mergeCell ref="C423:G423"/>
    <mergeCell ref="C412:G412"/>
    <mergeCell ref="C413:G413"/>
    <mergeCell ref="C414:G414"/>
    <mergeCell ref="C415:G415"/>
    <mergeCell ref="C416:G416"/>
    <mergeCell ref="C417:G417"/>
    <mergeCell ref="C406:G406"/>
    <mergeCell ref="C407:G407"/>
    <mergeCell ref="C408:G408"/>
    <mergeCell ref="C409:G409"/>
    <mergeCell ref="C410:G410"/>
    <mergeCell ref="C411:G411"/>
    <mergeCell ref="C400:G400"/>
    <mergeCell ref="C401:G401"/>
    <mergeCell ref="C402:G402"/>
    <mergeCell ref="C403:G403"/>
    <mergeCell ref="C404:G404"/>
    <mergeCell ref="C405:G405"/>
    <mergeCell ref="C394:G394"/>
    <mergeCell ref="C395:G395"/>
    <mergeCell ref="C396:G396"/>
    <mergeCell ref="C397:G397"/>
    <mergeCell ref="C398:G398"/>
    <mergeCell ref="C399:G399"/>
    <mergeCell ref="C388:G388"/>
    <mergeCell ref="C389:G389"/>
    <mergeCell ref="C390:G390"/>
    <mergeCell ref="C391:G391"/>
    <mergeCell ref="C392:G392"/>
    <mergeCell ref="C393:G393"/>
    <mergeCell ref="C382:G382"/>
    <mergeCell ref="C383:G383"/>
    <mergeCell ref="C384:G384"/>
    <mergeCell ref="C385:G385"/>
    <mergeCell ref="C386:G386"/>
    <mergeCell ref="C387:G387"/>
    <mergeCell ref="C376:G376"/>
    <mergeCell ref="C377:G377"/>
    <mergeCell ref="C378:G378"/>
    <mergeCell ref="C379:G379"/>
    <mergeCell ref="C380:G380"/>
    <mergeCell ref="C381:G381"/>
    <mergeCell ref="C370:G370"/>
    <mergeCell ref="C371:G371"/>
    <mergeCell ref="C372:G372"/>
    <mergeCell ref="C373:G373"/>
    <mergeCell ref="C374:G374"/>
    <mergeCell ref="C375:G375"/>
    <mergeCell ref="C364:G364"/>
    <mergeCell ref="C365:G365"/>
    <mergeCell ref="C366:G366"/>
    <mergeCell ref="C367:G367"/>
    <mergeCell ref="C368:G368"/>
    <mergeCell ref="C369:G369"/>
    <mergeCell ref="C358:G358"/>
    <mergeCell ref="C359:G359"/>
    <mergeCell ref="C360:G360"/>
    <mergeCell ref="C361:G361"/>
    <mergeCell ref="C362:G362"/>
    <mergeCell ref="C363:G363"/>
    <mergeCell ref="C352:G352"/>
    <mergeCell ref="C353:G353"/>
    <mergeCell ref="C354:G354"/>
    <mergeCell ref="C355:G355"/>
    <mergeCell ref="C356:G356"/>
    <mergeCell ref="C357:G357"/>
    <mergeCell ref="C346:G346"/>
    <mergeCell ref="C347:L347"/>
    <mergeCell ref="C348:G348"/>
    <mergeCell ref="C349:G349"/>
    <mergeCell ref="C350:G350"/>
    <mergeCell ref="C351:G351"/>
    <mergeCell ref="C340:G340"/>
    <mergeCell ref="C341:G341"/>
    <mergeCell ref="C342:G342"/>
    <mergeCell ref="C343:G343"/>
    <mergeCell ref="C344:G344"/>
    <mergeCell ref="C345:G345"/>
    <mergeCell ref="C334:G334"/>
    <mergeCell ref="C335:G335"/>
    <mergeCell ref="C336:G336"/>
    <mergeCell ref="C337:G337"/>
    <mergeCell ref="C338:L338"/>
    <mergeCell ref="C339:G339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C316:L316"/>
    <mergeCell ref="C317:G317"/>
    <mergeCell ref="C318:G318"/>
    <mergeCell ref="C319:G319"/>
    <mergeCell ref="C320:G320"/>
    <mergeCell ref="C321:G321"/>
    <mergeCell ref="C310:G310"/>
    <mergeCell ref="C311:G311"/>
    <mergeCell ref="C312:G312"/>
    <mergeCell ref="C313:G313"/>
    <mergeCell ref="C314:G314"/>
    <mergeCell ref="C315:G315"/>
    <mergeCell ref="C304:G304"/>
    <mergeCell ref="C305:G305"/>
    <mergeCell ref="C306:L306"/>
    <mergeCell ref="C307:G307"/>
    <mergeCell ref="C308:G308"/>
    <mergeCell ref="C309:G309"/>
    <mergeCell ref="C298:G298"/>
    <mergeCell ref="C299:G299"/>
    <mergeCell ref="C300:G300"/>
    <mergeCell ref="C301:G301"/>
    <mergeCell ref="C302:G302"/>
    <mergeCell ref="C303:G303"/>
    <mergeCell ref="C292:G292"/>
    <mergeCell ref="C293:G293"/>
    <mergeCell ref="C294:G294"/>
    <mergeCell ref="C295:G295"/>
    <mergeCell ref="C296:G296"/>
    <mergeCell ref="C297:G297"/>
    <mergeCell ref="C286:G286"/>
    <mergeCell ref="C287:G287"/>
    <mergeCell ref="C288:G288"/>
    <mergeCell ref="C289:G289"/>
    <mergeCell ref="C290:G290"/>
    <mergeCell ref="C291:G291"/>
    <mergeCell ref="C280:G280"/>
    <mergeCell ref="C281:G281"/>
    <mergeCell ref="C282:G282"/>
    <mergeCell ref="C283:G283"/>
    <mergeCell ref="C284:G284"/>
    <mergeCell ref="C285:G285"/>
    <mergeCell ref="C274:G274"/>
    <mergeCell ref="C275:G275"/>
    <mergeCell ref="C276:G276"/>
    <mergeCell ref="C277:G277"/>
    <mergeCell ref="C278:G278"/>
    <mergeCell ref="C279:G279"/>
    <mergeCell ref="C268:G268"/>
    <mergeCell ref="C269:G269"/>
    <mergeCell ref="C270:G270"/>
    <mergeCell ref="C271:G271"/>
    <mergeCell ref="C272:G272"/>
    <mergeCell ref="C273:G273"/>
    <mergeCell ref="C262:G262"/>
    <mergeCell ref="C263:G263"/>
    <mergeCell ref="C264:G264"/>
    <mergeCell ref="C265:G265"/>
    <mergeCell ref="C266:G266"/>
    <mergeCell ref="C267:G267"/>
    <mergeCell ref="C256:G256"/>
    <mergeCell ref="C257:G257"/>
    <mergeCell ref="C258:G258"/>
    <mergeCell ref="C259:G259"/>
    <mergeCell ref="C260:G260"/>
    <mergeCell ref="C261:G261"/>
    <mergeCell ref="C250:G250"/>
    <mergeCell ref="C251:G251"/>
    <mergeCell ref="C252:G252"/>
    <mergeCell ref="C253:G253"/>
    <mergeCell ref="C254:G254"/>
    <mergeCell ref="C255:G255"/>
    <mergeCell ref="C244:G244"/>
    <mergeCell ref="C245:G245"/>
    <mergeCell ref="C246:G246"/>
    <mergeCell ref="C247:G247"/>
    <mergeCell ref="C248:G248"/>
    <mergeCell ref="C249:G249"/>
    <mergeCell ref="C238:G238"/>
    <mergeCell ref="C239:G239"/>
    <mergeCell ref="C240:G240"/>
    <mergeCell ref="C241:G241"/>
    <mergeCell ref="C242:G242"/>
    <mergeCell ref="C243:G243"/>
    <mergeCell ref="C232:G232"/>
    <mergeCell ref="C233:G233"/>
    <mergeCell ref="C234:G234"/>
    <mergeCell ref="C235:G235"/>
    <mergeCell ref="C236:G236"/>
    <mergeCell ref="C237:G237"/>
    <mergeCell ref="C226:G226"/>
    <mergeCell ref="C227:G227"/>
    <mergeCell ref="C228:G228"/>
    <mergeCell ref="C229:G229"/>
    <mergeCell ref="C230:G230"/>
    <mergeCell ref="C231:G231"/>
    <mergeCell ref="C220:G220"/>
    <mergeCell ref="C221:G221"/>
    <mergeCell ref="C222:G222"/>
    <mergeCell ref="C223:G223"/>
    <mergeCell ref="C224:G224"/>
    <mergeCell ref="C225:G225"/>
    <mergeCell ref="C214:G214"/>
    <mergeCell ref="C215:G215"/>
    <mergeCell ref="C216:G216"/>
    <mergeCell ref="C217:G217"/>
    <mergeCell ref="C218:G218"/>
    <mergeCell ref="C219:G219"/>
    <mergeCell ref="C208:G208"/>
    <mergeCell ref="C209:G209"/>
    <mergeCell ref="C210:G210"/>
    <mergeCell ref="C211:G211"/>
    <mergeCell ref="C212:G212"/>
    <mergeCell ref="C213:G213"/>
    <mergeCell ref="C202:G202"/>
    <mergeCell ref="C203:G203"/>
    <mergeCell ref="C204:G204"/>
    <mergeCell ref="C205:G205"/>
    <mergeCell ref="C206:G206"/>
    <mergeCell ref="C207:G207"/>
    <mergeCell ref="C196:G196"/>
    <mergeCell ref="C197:G197"/>
    <mergeCell ref="C198:G198"/>
    <mergeCell ref="C199:G199"/>
    <mergeCell ref="C200:G200"/>
    <mergeCell ref="C201:G201"/>
    <mergeCell ref="C190:G190"/>
    <mergeCell ref="C191:L191"/>
    <mergeCell ref="C192:G192"/>
    <mergeCell ref="C193:G193"/>
    <mergeCell ref="C194:G194"/>
    <mergeCell ref="C195:G195"/>
    <mergeCell ref="C184:G184"/>
    <mergeCell ref="C185:G185"/>
    <mergeCell ref="C186:L186"/>
    <mergeCell ref="C187:G187"/>
    <mergeCell ref="C188:G188"/>
    <mergeCell ref="C189:G189"/>
    <mergeCell ref="C178:L178"/>
    <mergeCell ref="C179:G179"/>
    <mergeCell ref="C180:G180"/>
    <mergeCell ref="C181:G181"/>
    <mergeCell ref="C182:L182"/>
    <mergeCell ref="C183:G183"/>
    <mergeCell ref="C172:G172"/>
    <mergeCell ref="C173:G173"/>
    <mergeCell ref="C174:G174"/>
    <mergeCell ref="C175:L175"/>
    <mergeCell ref="C176:G176"/>
    <mergeCell ref="C177:G177"/>
    <mergeCell ref="C166:L166"/>
    <mergeCell ref="C167:G167"/>
    <mergeCell ref="C168:G168"/>
    <mergeCell ref="C169:G169"/>
    <mergeCell ref="C170:G170"/>
    <mergeCell ref="C171:G171"/>
    <mergeCell ref="C160:L160"/>
    <mergeCell ref="C161:G161"/>
    <mergeCell ref="C162:G162"/>
    <mergeCell ref="C163:G163"/>
    <mergeCell ref="C164:G164"/>
    <mergeCell ref="C165:G165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2:G112"/>
    <mergeCell ref="C113:G113"/>
    <mergeCell ref="C114:L114"/>
    <mergeCell ref="C115:G115"/>
    <mergeCell ref="C116:G116"/>
    <mergeCell ref="C117:G117"/>
    <mergeCell ref="C106:G106"/>
    <mergeCell ref="C107:G107"/>
    <mergeCell ref="C108:L108"/>
    <mergeCell ref="C109:G109"/>
    <mergeCell ref="C110:G110"/>
    <mergeCell ref="C111:L111"/>
    <mergeCell ref="C100:G100"/>
    <mergeCell ref="C101:G101"/>
    <mergeCell ref="C102:L102"/>
    <mergeCell ref="C103:G103"/>
    <mergeCell ref="C104:G104"/>
    <mergeCell ref="C105:G105"/>
    <mergeCell ref="C94:G94"/>
    <mergeCell ref="C95:G95"/>
    <mergeCell ref="C96:G96"/>
    <mergeCell ref="C97:L97"/>
    <mergeCell ref="C98:G98"/>
    <mergeCell ref="C99:G99"/>
    <mergeCell ref="C88:G88"/>
    <mergeCell ref="C89:G89"/>
    <mergeCell ref="C90:G90"/>
    <mergeCell ref="C91:G91"/>
    <mergeCell ref="C92:G92"/>
    <mergeCell ref="C93:L93"/>
    <mergeCell ref="C82:G82"/>
    <mergeCell ref="C83:G83"/>
    <mergeCell ref="C84:G84"/>
    <mergeCell ref="C85:G85"/>
    <mergeCell ref="C86:G86"/>
    <mergeCell ref="C87:G87"/>
    <mergeCell ref="C76:G76"/>
    <mergeCell ref="C77:L77"/>
    <mergeCell ref="C78:G78"/>
    <mergeCell ref="C79:G79"/>
    <mergeCell ref="C80:G80"/>
    <mergeCell ref="C81:L81"/>
    <mergeCell ref="C70:L70"/>
    <mergeCell ref="C71:G71"/>
    <mergeCell ref="C72:G72"/>
    <mergeCell ref="C73:L73"/>
    <mergeCell ref="C74:G74"/>
    <mergeCell ref="C75:L75"/>
    <mergeCell ref="C64:L64"/>
    <mergeCell ref="C65:G65"/>
    <mergeCell ref="C66:L66"/>
    <mergeCell ref="C67:G67"/>
    <mergeCell ref="C68:L68"/>
    <mergeCell ref="C69:G69"/>
    <mergeCell ref="C58:G58"/>
    <mergeCell ref="C59:G59"/>
    <mergeCell ref="C60:G60"/>
    <mergeCell ref="C61:G61"/>
    <mergeCell ref="C62:L62"/>
    <mergeCell ref="C63:G63"/>
    <mergeCell ref="C52:G52"/>
    <mergeCell ref="C53:G53"/>
    <mergeCell ref="C54:G54"/>
    <mergeCell ref="C55:G55"/>
    <mergeCell ref="C56:L56"/>
    <mergeCell ref="C57:G57"/>
    <mergeCell ref="C46:G46"/>
    <mergeCell ref="C47:G47"/>
    <mergeCell ref="C48:G48"/>
    <mergeCell ref="C49:G49"/>
    <mergeCell ref="C50:G50"/>
    <mergeCell ref="C51:L51"/>
    <mergeCell ref="C40:L40"/>
    <mergeCell ref="C41:G41"/>
    <mergeCell ref="C42:G42"/>
    <mergeCell ref="C43:G43"/>
    <mergeCell ref="C44:G44"/>
    <mergeCell ref="C45:G45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L21"/>
    <mergeCell ref="C10:G10"/>
    <mergeCell ref="C11:G11"/>
    <mergeCell ref="C12:G12"/>
    <mergeCell ref="C13:G13"/>
    <mergeCell ref="C14:G14"/>
    <mergeCell ref="C15:G15"/>
    <mergeCell ref="A8:B9"/>
    <mergeCell ref="C8:C9"/>
    <mergeCell ref="D8:E9"/>
    <mergeCell ref="F8:F9"/>
    <mergeCell ref="G8:G9"/>
    <mergeCell ref="H8:L9"/>
    <mergeCell ref="A6:B7"/>
    <mergeCell ref="C6:C7"/>
    <mergeCell ref="D6:E7"/>
    <mergeCell ref="F6:F7"/>
    <mergeCell ref="G6:G7"/>
    <mergeCell ref="H6:L7"/>
    <mergeCell ref="A4:B5"/>
    <mergeCell ref="C4:C5"/>
    <mergeCell ref="D4:E5"/>
    <mergeCell ref="F4:F5"/>
    <mergeCell ref="G4:G5"/>
    <mergeCell ref="H4:L5"/>
    <mergeCell ref="A1:L1"/>
    <mergeCell ref="A2:B3"/>
    <mergeCell ref="C2:C3"/>
    <mergeCell ref="D2:E3"/>
    <mergeCell ref="F2:F3"/>
    <mergeCell ref="G2:G3"/>
    <mergeCell ref="H2:L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"/>
  <sheetViews>
    <sheetView workbookViewId="0">
      <selection activeCell="C20" sqref="C20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974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82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SUM('Stavební rozpočet (SO 03)'!AB12:AB552)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SUM('Stavební rozpočet (SO 03)'!AC12:AC552)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SUM('Stavební rozpočet (SO 03)'!AD12:AD552)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SUM('Stavební rozpočet (SO 03)'!AE12:AE552)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 (SO 03)'!AF12:AF552)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 (SO 03)'!AG12:AG552)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SUM('Stavební rozpočet (SO 03)'!AH12:AH552)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SUM('Stavební rozpočet (SO 03)'!Z12:Z552)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5"/>
      <c r="D23" s="5"/>
      <c r="E23" s="5"/>
      <c r="F23" s="10"/>
      <c r="G23" s="115" t="s">
        <v>47</v>
      </c>
      <c r="H23" s="116"/>
      <c r="I23" s="29"/>
    </row>
    <row r="24" spans="1:10" x14ac:dyDescent="0.25">
      <c r="A24" s="1"/>
      <c r="B24" s="1"/>
      <c r="C24" s="1"/>
      <c r="G24" s="5"/>
      <c r="H24" s="5"/>
    </row>
    <row r="25" spans="1:10" ht="15.15" customHeight="1" x14ac:dyDescent="0.25">
      <c r="A25" s="117" t="s">
        <v>13</v>
      </c>
      <c r="B25" s="118"/>
      <c r="C25" s="19">
        <f>ROUND(SUM('Stavební rozpočet (SO 03)'!AJ12:AJ552),1)</f>
        <v>0</v>
      </c>
      <c r="D25" s="11"/>
      <c r="E25" s="1"/>
      <c r="F25" s="1"/>
      <c r="G25" s="1"/>
      <c r="H25" s="1"/>
      <c r="I25" s="1"/>
    </row>
    <row r="26" spans="1:10" ht="15.15" customHeight="1" x14ac:dyDescent="0.25">
      <c r="A26" s="117" t="s">
        <v>14</v>
      </c>
      <c r="B26" s="118"/>
      <c r="C26" s="19">
        <f>ROUND(SUM('Stavební rozpočet (SO 03)'!AK12:AK552),1)</f>
        <v>0</v>
      </c>
      <c r="D26" s="117" t="s">
        <v>29</v>
      </c>
      <c r="E26" s="118"/>
      <c r="F26" s="19">
        <f>ROUND(C26*(15/100),2)</f>
        <v>0</v>
      </c>
      <c r="G26" s="117" t="s">
        <v>49</v>
      </c>
      <c r="H26" s="118"/>
      <c r="I26" s="19">
        <f>ROUND(SUM(C25:C27),1)</f>
        <v>0</v>
      </c>
      <c r="J26" s="17"/>
    </row>
    <row r="27" spans="1:10" ht="15.15" customHeight="1" x14ac:dyDescent="0.25">
      <c r="A27" s="117" t="s">
        <v>15</v>
      </c>
      <c r="B27" s="118"/>
      <c r="C27" s="19">
        <f>ROUND(SUM('Stavební rozpočet (SO 03)'!AL12:AL552)+(F22+I22+F23+I23+I24),1)</f>
        <v>0</v>
      </c>
      <c r="D27" s="117" t="s">
        <v>30</v>
      </c>
      <c r="E27" s="118"/>
      <c r="F27" s="19">
        <f>ROUND(C27*(21/100),2)</f>
        <v>0</v>
      </c>
      <c r="G27" s="117" t="s">
        <v>50</v>
      </c>
      <c r="H27" s="118"/>
      <c r="I27" s="19">
        <f>ROUND(SUM(F26:F27)+I26,1)</f>
        <v>0</v>
      </c>
      <c r="J27" s="17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10" ht="14.4" customHeight="1" x14ac:dyDescent="0.25">
      <c r="A29" s="119" t="s">
        <v>16</v>
      </c>
      <c r="B29" s="120"/>
      <c r="C29" s="121"/>
      <c r="D29" s="119" t="s">
        <v>31</v>
      </c>
      <c r="E29" s="120"/>
      <c r="F29" s="121"/>
      <c r="G29" s="119" t="s">
        <v>51</v>
      </c>
      <c r="H29" s="120"/>
      <c r="I29" s="121"/>
      <c r="J29" s="18"/>
    </row>
    <row r="30" spans="1:10" ht="14.4" customHeight="1" x14ac:dyDescent="0.25">
      <c r="A30" s="122"/>
      <c r="B30" s="123"/>
      <c r="C30" s="124"/>
      <c r="D30" s="122"/>
      <c r="E30" s="123"/>
      <c r="F30" s="124"/>
      <c r="G30" s="122"/>
      <c r="H30" s="123"/>
      <c r="I30" s="124"/>
      <c r="J30" s="18"/>
    </row>
    <row r="31" spans="1:10" ht="14.4" customHeight="1" x14ac:dyDescent="0.25">
      <c r="A31" s="122"/>
      <c r="B31" s="123"/>
      <c r="C31" s="124"/>
      <c r="D31" s="122"/>
      <c r="E31" s="123"/>
      <c r="F31" s="124"/>
      <c r="G31" s="122"/>
      <c r="H31" s="123"/>
      <c r="I31" s="124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x14ac:dyDescent="0.25">
      <c r="A33" s="125" t="s">
        <v>17</v>
      </c>
      <c r="B33" s="126"/>
      <c r="C33" s="127"/>
      <c r="D33" s="125" t="s">
        <v>17</v>
      </c>
      <c r="E33" s="126"/>
      <c r="F33" s="127"/>
      <c r="G33" s="125" t="s">
        <v>17</v>
      </c>
      <c r="H33" s="126"/>
      <c r="I33" s="127"/>
      <c r="J33" s="18"/>
    </row>
    <row r="34" spans="1:10" ht="11.25" customHeight="1" x14ac:dyDescent="0.25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10" x14ac:dyDescent="0.25">
      <c r="A35" s="103"/>
      <c r="B35" s="94"/>
      <c r="C35" s="94"/>
      <c r="D35" s="94"/>
      <c r="E35" s="94"/>
      <c r="F35" s="94"/>
      <c r="G35" s="94"/>
      <c r="H35" s="94"/>
      <c r="I35" s="94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L19"/>
  <sheetViews>
    <sheetView workbookViewId="0">
      <pane ySplit="11" topLeftCell="A12" activePane="bottomLeft" state="frozenSplit"/>
      <selection pane="bottomLeft" activeCell="J23" sqref="J23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44.33203125" customWidth="1"/>
    <col min="8" max="8" width="4.3320312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975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143" t="s">
        <v>66</v>
      </c>
      <c r="F2" s="92"/>
      <c r="G2" s="98" t="str">
        <f>'Stavební rozpočet'!F2</f>
        <v xml:space="preserve"> </v>
      </c>
      <c r="H2" s="98" t="s">
        <v>32</v>
      </c>
      <c r="I2" s="92"/>
      <c r="J2" s="98" t="str">
        <f>'Stavební rozpočet'!H2</f>
        <v> </v>
      </c>
      <c r="K2" s="92"/>
      <c r="L2" s="129"/>
      <c r="M2" s="17"/>
    </row>
    <row r="3" spans="1:64" x14ac:dyDescent="0.25">
      <c r="A3" s="93"/>
      <c r="B3" s="94"/>
      <c r="C3" s="97"/>
      <c r="D3" s="97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tr">
        <f>'Stavební rozpočet'!C4</f>
        <v xml:space="preserve"> </v>
      </c>
      <c r="D4" s="94"/>
      <c r="E4" s="106" t="s">
        <v>3</v>
      </c>
      <c r="F4" s="94"/>
      <c r="G4" s="103" t="str">
        <f>'Stavební rozpočet'!F4</f>
        <v>22.01.2021</v>
      </c>
      <c r="H4" s="103" t="s">
        <v>33</v>
      </c>
      <c r="I4" s="94"/>
      <c r="J4" s="103" t="str">
        <f>'Stavební rozpočet'!H4</f>
        <v> </v>
      </c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tr">
        <f>'Stavební rozpočet'!C6</f>
        <v xml:space="preserve"> </v>
      </c>
      <c r="D6" s="94"/>
      <c r="E6" s="106" t="s">
        <v>35</v>
      </c>
      <c r="F6" s="94"/>
      <c r="G6" s="103" t="str">
        <f>'Stavební rozpočet'!F6</f>
        <v xml:space="preserve"> </v>
      </c>
      <c r="H6" s="103" t="s">
        <v>34</v>
      </c>
      <c r="I6" s="94"/>
      <c r="J6" s="103" t="str">
        <f>'Stavební rozpočet'!H6</f>
        <v> </v>
      </c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tr">
        <f>'Stavební rozpočet'!C8</f>
        <v xml:space="preserve"> </v>
      </c>
      <c r="D8" s="94"/>
      <c r="E8" s="106" t="s">
        <v>67</v>
      </c>
      <c r="F8" s="94"/>
      <c r="G8" s="103" t="str">
        <f>'Stavební rozpočet'!F8</f>
        <v>22.01.2021</v>
      </c>
      <c r="H8" s="103" t="s">
        <v>36</v>
      </c>
      <c r="I8" s="94"/>
      <c r="J8" s="103" t="str">
        <f>'Stavební rozpočet'!H8</f>
        <v> </v>
      </c>
      <c r="K8" s="94"/>
      <c r="L8" s="100"/>
      <c r="M8" s="17"/>
    </row>
    <row r="9" spans="1:64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 t="s">
        <v>904</v>
      </c>
      <c r="M10" s="18"/>
      <c r="BK10" s="56" t="s">
        <v>970</v>
      </c>
      <c r="BL10" s="62" t="s">
        <v>973</v>
      </c>
    </row>
    <row r="11" spans="1:64" x14ac:dyDescent="0.25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 t="s">
        <v>905</v>
      </c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39"/>
      <c r="C12" s="157" t="s">
        <v>61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</f>
        <v>0</v>
      </c>
      <c r="L12" s="51"/>
      <c r="M12" s="17"/>
    </row>
    <row r="13" spans="1:64" x14ac:dyDescent="0.25">
      <c r="A13" s="33"/>
      <c r="B13" s="40" t="s">
        <v>140</v>
      </c>
      <c r="C13" s="144" t="s">
        <v>977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SUM(K14:K14)</f>
        <v>0</v>
      </c>
      <c r="L13" s="52"/>
      <c r="M13" s="17"/>
      <c r="AI13" s="56" t="s">
        <v>73</v>
      </c>
      <c r="AS13" s="65">
        <f>SUM(AJ14:AJ14)</f>
        <v>0</v>
      </c>
      <c r="AT13" s="65">
        <f>SUM(AK14:AK14)</f>
        <v>0</v>
      </c>
      <c r="AU13" s="65">
        <f>SUM(AL14:AL14)</f>
        <v>0</v>
      </c>
    </row>
    <row r="14" spans="1:64" x14ac:dyDescent="0.25">
      <c r="A14" s="34" t="s">
        <v>82</v>
      </c>
      <c r="B14" s="41" t="s">
        <v>976</v>
      </c>
      <c r="C14" s="146" t="s">
        <v>978</v>
      </c>
      <c r="D14" s="147"/>
      <c r="E14" s="147"/>
      <c r="F14" s="147"/>
      <c r="G14" s="147"/>
      <c r="H14" s="41" t="s">
        <v>891</v>
      </c>
      <c r="I14" s="76">
        <f>'Stavební rozpočet'!I514</f>
        <v>126.84</v>
      </c>
      <c r="J14" s="60"/>
      <c r="K14" s="60">
        <f>I14*J14</f>
        <v>0</v>
      </c>
      <c r="L14" s="53" t="s">
        <v>906</v>
      </c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73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J14*0.519390471614313</f>
        <v>0</v>
      </c>
      <c r="AP14" s="28">
        <f>J14*(1-0.519390471614313)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981</v>
      </c>
      <c r="AZ14" s="59" t="s">
        <v>982</v>
      </c>
      <c r="BA14" s="56" t="s">
        <v>983</v>
      </c>
      <c r="BC14" s="28">
        <f>AW14+AX14</f>
        <v>0</v>
      </c>
      <c r="BD14" s="28">
        <f>J14/(100-BE14)*100</f>
        <v>0</v>
      </c>
      <c r="BE14" s="28">
        <v>0</v>
      </c>
      <c r="BF14" s="28">
        <f>14</f>
        <v>14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59</v>
      </c>
    </row>
    <row r="15" spans="1:64" x14ac:dyDescent="0.25">
      <c r="A15" s="17"/>
      <c r="B15" s="42" t="s">
        <v>265</v>
      </c>
      <c r="C15" s="150" t="s">
        <v>979</v>
      </c>
      <c r="D15" s="151"/>
      <c r="E15" s="151"/>
      <c r="F15" s="151"/>
      <c r="G15" s="151"/>
      <c r="H15" s="151"/>
      <c r="I15" s="151"/>
      <c r="J15" s="151"/>
      <c r="K15" s="151"/>
      <c r="L15" s="152"/>
      <c r="M15" s="17"/>
    </row>
    <row r="16" spans="1:64" x14ac:dyDescent="0.25">
      <c r="A16" s="11"/>
      <c r="B16" s="1"/>
      <c r="C16" s="163" t="s">
        <v>980</v>
      </c>
      <c r="D16" s="164"/>
      <c r="E16" s="164"/>
      <c r="F16" s="164"/>
      <c r="G16" s="164"/>
      <c r="H16" s="1"/>
      <c r="I16" s="81">
        <v>126.84</v>
      </c>
      <c r="J16" s="1"/>
      <c r="K16" s="1"/>
      <c r="L16" s="66"/>
      <c r="M16" s="17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27">
        <f>ROUND(K13,1)</f>
        <v>0</v>
      </c>
      <c r="L17" s="5"/>
    </row>
    <row r="18" spans="1:12" ht="11.25" customHeight="1" x14ac:dyDescent="0.25">
      <c r="A18" s="20" t="s">
        <v>18</v>
      </c>
    </row>
    <row r="19" spans="1:12" x14ac:dyDescent="0.25">
      <c r="A19" s="10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</sheetData>
  <mergeCells count="33">
    <mergeCell ref="C16:G16"/>
    <mergeCell ref="A19:L19"/>
    <mergeCell ref="C10:G10"/>
    <mergeCell ref="C11:G11"/>
    <mergeCell ref="C12:G12"/>
    <mergeCell ref="C13:G13"/>
    <mergeCell ref="C14:G14"/>
    <mergeCell ref="C15:L15"/>
    <mergeCell ref="J8:L9"/>
    <mergeCell ref="A6:B7"/>
    <mergeCell ref="C6:D7"/>
    <mergeCell ref="E6:F7"/>
    <mergeCell ref="G6:G7"/>
    <mergeCell ref="H6:I7"/>
    <mergeCell ref="J6:L7"/>
    <mergeCell ref="A8:B9"/>
    <mergeCell ref="C8:D9"/>
    <mergeCell ref="E8:F9"/>
    <mergeCell ref="G8:G9"/>
    <mergeCell ref="H8:I9"/>
    <mergeCell ref="J4:L5"/>
    <mergeCell ref="A1:L1"/>
    <mergeCell ref="A2:B3"/>
    <mergeCell ref="C2:D3"/>
    <mergeCell ref="E2:F3"/>
    <mergeCell ref="G2:G3"/>
    <mergeCell ref="H2:I3"/>
    <mergeCell ref="J2:L3"/>
    <mergeCell ref="A4:B5"/>
    <mergeCell ref="C4:D5"/>
    <mergeCell ref="E4:F5"/>
    <mergeCell ref="G4:G5"/>
    <mergeCell ref="H4:I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5"/>
  <sheetViews>
    <sheetView workbookViewId="0"/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984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85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SUM('Stavební rozpočet (SO 04)'!AB12:AB552)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SUM('Stavební rozpočet (SO 04)'!AC12:AC552)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SUM('Stavební rozpočet (SO 04)'!AD12:AD552)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SUM('Stavební rozpočet (SO 04)'!AE12:AE552)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 (SO 04)'!AF12:AF552)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 (SO 04)'!AG12:AG552)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SUM('Stavební rozpočet (SO 04)'!AH12:AH552)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SUM('Stavební rozpočet (SO 04)'!Z12:Z552)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5"/>
      <c r="D23" s="5"/>
      <c r="E23" s="5"/>
      <c r="F23" s="10"/>
      <c r="G23" s="115" t="s">
        <v>47</v>
      </c>
      <c r="H23" s="116"/>
      <c r="I23" s="29"/>
    </row>
    <row r="24" spans="1:10" x14ac:dyDescent="0.25">
      <c r="A24" s="1"/>
      <c r="B24" s="1"/>
      <c r="C24" s="1"/>
      <c r="G24" s="5"/>
      <c r="H24" s="5"/>
    </row>
    <row r="25" spans="1:10" ht="15.15" customHeight="1" x14ac:dyDescent="0.25">
      <c r="A25" s="117" t="s">
        <v>13</v>
      </c>
      <c r="B25" s="118"/>
      <c r="C25" s="19">
        <f>ROUND(SUM('Stavební rozpočet (SO 04)'!AJ12:AJ552),1)</f>
        <v>0</v>
      </c>
      <c r="D25" s="11"/>
      <c r="E25" s="1"/>
      <c r="F25" s="1"/>
      <c r="G25" s="1"/>
      <c r="H25" s="1"/>
      <c r="I25" s="1"/>
    </row>
    <row r="26" spans="1:10" ht="15.15" customHeight="1" x14ac:dyDescent="0.25">
      <c r="A26" s="117" t="s">
        <v>14</v>
      </c>
      <c r="B26" s="118"/>
      <c r="C26" s="19">
        <f>ROUND(SUM('Stavební rozpočet (SO 04)'!AK12:AK552),1)</f>
        <v>0</v>
      </c>
      <c r="D26" s="117" t="s">
        <v>29</v>
      </c>
      <c r="E26" s="118"/>
      <c r="F26" s="19">
        <f>ROUND(C26*(15/100),2)</f>
        <v>0</v>
      </c>
      <c r="G26" s="117" t="s">
        <v>49</v>
      </c>
      <c r="H26" s="118"/>
      <c r="I26" s="19">
        <f>ROUND(SUM(C25:C27),1)</f>
        <v>0</v>
      </c>
      <c r="J26" s="17"/>
    </row>
    <row r="27" spans="1:10" ht="15.15" customHeight="1" x14ac:dyDescent="0.25">
      <c r="A27" s="117" t="s">
        <v>15</v>
      </c>
      <c r="B27" s="118"/>
      <c r="C27" s="19">
        <f>ROUND(SUM('Stavební rozpočet (SO 04)'!AL12:AL552)+(F22+I22+F23+I23+I24),1)</f>
        <v>0</v>
      </c>
      <c r="D27" s="117" t="s">
        <v>30</v>
      </c>
      <c r="E27" s="118"/>
      <c r="F27" s="19">
        <f>ROUND(C27*(21/100),2)</f>
        <v>0</v>
      </c>
      <c r="G27" s="117" t="s">
        <v>50</v>
      </c>
      <c r="H27" s="118"/>
      <c r="I27" s="19">
        <f>ROUND(SUM(F26:F27)+I26,1)</f>
        <v>0</v>
      </c>
      <c r="J27" s="17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10" ht="14.4" customHeight="1" x14ac:dyDescent="0.25">
      <c r="A29" s="119" t="s">
        <v>16</v>
      </c>
      <c r="B29" s="120"/>
      <c r="C29" s="121"/>
      <c r="D29" s="119" t="s">
        <v>31</v>
      </c>
      <c r="E29" s="120"/>
      <c r="F29" s="121"/>
      <c r="G29" s="119" t="s">
        <v>51</v>
      </c>
      <c r="H29" s="120"/>
      <c r="I29" s="121"/>
      <c r="J29" s="18"/>
    </row>
    <row r="30" spans="1:10" ht="14.4" customHeight="1" x14ac:dyDescent="0.25">
      <c r="A30" s="122"/>
      <c r="B30" s="123"/>
      <c r="C30" s="124"/>
      <c r="D30" s="122"/>
      <c r="E30" s="123"/>
      <c r="F30" s="124"/>
      <c r="G30" s="122"/>
      <c r="H30" s="123"/>
      <c r="I30" s="124"/>
      <c r="J30" s="18"/>
    </row>
    <row r="31" spans="1:10" ht="14.4" customHeight="1" x14ac:dyDescent="0.25">
      <c r="A31" s="122"/>
      <c r="B31" s="123"/>
      <c r="C31" s="124"/>
      <c r="D31" s="122"/>
      <c r="E31" s="123"/>
      <c r="F31" s="124"/>
      <c r="G31" s="122"/>
      <c r="H31" s="123"/>
      <c r="I31" s="124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x14ac:dyDescent="0.25">
      <c r="A33" s="125" t="s">
        <v>17</v>
      </c>
      <c r="B33" s="126"/>
      <c r="C33" s="127"/>
      <c r="D33" s="125" t="s">
        <v>17</v>
      </c>
      <c r="E33" s="126"/>
      <c r="F33" s="127"/>
      <c r="G33" s="125" t="s">
        <v>17</v>
      </c>
      <c r="H33" s="126"/>
      <c r="I33" s="127"/>
      <c r="J33" s="18"/>
    </row>
    <row r="34" spans="1:10" ht="11.25" customHeight="1" x14ac:dyDescent="0.25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10" x14ac:dyDescent="0.25">
      <c r="A35" s="103"/>
      <c r="B35" s="94"/>
      <c r="C35" s="94"/>
      <c r="D35" s="94"/>
      <c r="E35" s="94"/>
      <c r="F35" s="94"/>
      <c r="G35" s="94"/>
      <c r="H35" s="94"/>
      <c r="I35" s="94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L25"/>
  <sheetViews>
    <sheetView workbookViewId="0">
      <pane ySplit="11" topLeftCell="A12" activePane="bottomLeft" state="frozenSplit"/>
      <selection pane="bottomLeft" activeCell="K42" sqref="K42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66.6640625" customWidth="1"/>
    <col min="8" max="8" width="4.33203125" customWidth="1"/>
    <col min="9" max="9" width="12.88671875" customWidth="1"/>
    <col min="10" max="10" width="12" customWidth="1"/>
    <col min="11" max="11" width="14.33203125" customWidth="1"/>
    <col min="12" max="12" width="11.6640625" customWidth="1"/>
    <col min="25" max="64" width="12.109375" hidden="1" customWidth="1"/>
  </cols>
  <sheetData>
    <row r="1" spans="1:64" ht="72.900000000000006" customHeight="1" x14ac:dyDescent="0.4">
      <c r="A1" s="128" t="s">
        <v>985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64" x14ac:dyDescent="0.25">
      <c r="A2" s="91" t="s">
        <v>0</v>
      </c>
      <c r="B2" s="92"/>
      <c r="C2" s="95" t="str">
        <f>'Stavební rozpočet'!C2</f>
        <v>Rekonstrukce RD na rekreační středisko</v>
      </c>
      <c r="D2" s="143" t="s">
        <v>66</v>
      </c>
      <c r="E2" s="92"/>
      <c r="F2" s="98" t="str">
        <f>'Stavební rozpočet'!F2</f>
        <v xml:space="preserve"> </v>
      </c>
      <c r="G2" s="98" t="s">
        <v>32</v>
      </c>
      <c r="H2" s="98" t="str">
        <f>'Stavební rozpočet'!H2</f>
        <v> </v>
      </c>
      <c r="I2" s="92"/>
      <c r="J2" s="92"/>
      <c r="K2" s="92"/>
      <c r="L2" s="129"/>
      <c r="M2" s="17"/>
    </row>
    <row r="3" spans="1:64" x14ac:dyDescent="0.25">
      <c r="A3" s="93"/>
      <c r="B3" s="94"/>
      <c r="C3" s="97"/>
      <c r="D3" s="94"/>
      <c r="E3" s="94"/>
      <c r="F3" s="94"/>
      <c r="G3" s="94"/>
      <c r="H3" s="94"/>
      <c r="I3" s="94"/>
      <c r="J3" s="94"/>
      <c r="K3" s="94"/>
      <c r="L3" s="100"/>
      <c r="M3" s="17"/>
    </row>
    <row r="4" spans="1:64" x14ac:dyDescent="0.25">
      <c r="A4" s="102" t="s">
        <v>1</v>
      </c>
      <c r="B4" s="94"/>
      <c r="C4" s="103" t="str">
        <f>'Stavební rozpočet'!C4</f>
        <v xml:space="preserve"> </v>
      </c>
      <c r="D4" s="106" t="s">
        <v>3</v>
      </c>
      <c r="E4" s="94"/>
      <c r="F4" s="103" t="str">
        <f>'Stavební rozpočet'!F4</f>
        <v>22.01.2021</v>
      </c>
      <c r="G4" s="103" t="s">
        <v>33</v>
      </c>
      <c r="H4" s="103" t="str">
        <f>'Stavební rozpočet'!H4</f>
        <v> </v>
      </c>
      <c r="I4" s="94"/>
      <c r="J4" s="94"/>
      <c r="K4" s="94"/>
      <c r="L4" s="100"/>
      <c r="M4" s="17"/>
    </row>
    <row r="5" spans="1:64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100"/>
      <c r="M5" s="17"/>
    </row>
    <row r="6" spans="1:64" x14ac:dyDescent="0.25">
      <c r="A6" s="102" t="s">
        <v>2</v>
      </c>
      <c r="B6" s="94"/>
      <c r="C6" s="103" t="str">
        <f>'Stavební rozpočet'!C6</f>
        <v xml:space="preserve"> </v>
      </c>
      <c r="D6" s="106" t="s">
        <v>35</v>
      </c>
      <c r="E6" s="94"/>
      <c r="F6" s="103" t="str">
        <f>'Stavební rozpočet'!F6</f>
        <v xml:space="preserve"> </v>
      </c>
      <c r="G6" s="103" t="s">
        <v>34</v>
      </c>
      <c r="H6" s="103" t="str">
        <f>'Stavební rozpočet'!H6</f>
        <v> </v>
      </c>
      <c r="I6" s="94"/>
      <c r="J6" s="94"/>
      <c r="K6" s="94"/>
      <c r="L6" s="100"/>
      <c r="M6" s="17"/>
    </row>
    <row r="7" spans="1:64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100"/>
      <c r="M7" s="17"/>
    </row>
    <row r="8" spans="1:64" x14ac:dyDescent="0.25">
      <c r="A8" s="102" t="s">
        <v>4</v>
      </c>
      <c r="B8" s="94"/>
      <c r="C8" s="103" t="str">
        <f>'Stavební rozpočet'!C8</f>
        <v xml:space="preserve"> </v>
      </c>
      <c r="D8" s="106" t="s">
        <v>67</v>
      </c>
      <c r="E8" s="94"/>
      <c r="F8" s="103" t="str">
        <f>'Stavební rozpočet'!F8</f>
        <v>22.01.2021</v>
      </c>
      <c r="G8" s="103" t="s">
        <v>36</v>
      </c>
      <c r="H8" s="103" t="str">
        <f>'Stavební rozpočet'!H8</f>
        <v> </v>
      </c>
      <c r="I8" s="94"/>
      <c r="J8" s="94"/>
      <c r="K8" s="94"/>
      <c r="L8" s="100"/>
      <c r="M8" s="17"/>
    </row>
    <row r="9" spans="1:64" x14ac:dyDescent="0.25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7"/>
    </row>
    <row r="10" spans="1:64" x14ac:dyDescent="0.25">
      <c r="A10" s="30" t="s">
        <v>81</v>
      </c>
      <c r="B10" s="37" t="s">
        <v>261</v>
      </c>
      <c r="C10" s="153" t="s">
        <v>462</v>
      </c>
      <c r="D10" s="154"/>
      <c r="E10" s="154"/>
      <c r="F10" s="154"/>
      <c r="G10" s="155"/>
      <c r="H10" s="37" t="s">
        <v>890</v>
      </c>
      <c r="I10" s="47" t="s">
        <v>901</v>
      </c>
      <c r="J10" s="48" t="s">
        <v>902</v>
      </c>
      <c r="K10" s="21" t="s">
        <v>69</v>
      </c>
      <c r="L10" s="21" t="s">
        <v>904</v>
      </c>
      <c r="M10" s="18"/>
      <c r="BK10" s="56" t="s">
        <v>970</v>
      </c>
      <c r="BL10" s="62" t="s">
        <v>973</v>
      </c>
    </row>
    <row r="11" spans="1:64" x14ac:dyDescent="0.25">
      <c r="A11" s="31" t="s">
        <v>58</v>
      </c>
      <c r="B11" s="38" t="s">
        <v>58</v>
      </c>
      <c r="C11" s="156" t="s">
        <v>463</v>
      </c>
      <c r="D11" s="140"/>
      <c r="E11" s="140"/>
      <c r="F11" s="140"/>
      <c r="G11" s="141"/>
      <c r="H11" s="38" t="s">
        <v>58</v>
      </c>
      <c r="I11" s="38" t="s">
        <v>58</v>
      </c>
      <c r="J11" s="49" t="s">
        <v>903</v>
      </c>
      <c r="K11" s="22" t="s">
        <v>70</v>
      </c>
      <c r="L11" s="50" t="s">
        <v>905</v>
      </c>
      <c r="M11" s="18"/>
      <c r="Z11" s="56" t="s">
        <v>907</v>
      </c>
      <c r="AA11" s="56" t="s">
        <v>908</v>
      </c>
      <c r="AB11" s="56" t="s">
        <v>909</v>
      </c>
      <c r="AC11" s="56" t="s">
        <v>910</v>
      </c>
      <c r="AD11" s="56" t="s">
        <v>911</v>
      </c>
      <c r="AE11" s="56" t="s">
        <v>912</v>
      </c>
      <c r="AF11" s="56" t="s">
        <v>913</v>
      </c>
      <c r="AG11" s="56" t="s">
        <v>914</v>
      </c>
      <c r="AH11" s="56" t="s">
        <v>915</v>
      </c>
      <c r="BH11" s="56" t="s">
        <v>967</v>
      </c>
      <c r="BI11" s="56" t="s">
        <v>968</v>
      </c>
      <c r="BJ11" s="56" t="s">
        <v>969</v>
      </c>
    </row>
    <row r="12" spans="1:64" x14ac:dyDescent="0.25">
      <c r="A12" s="32"/>
      <c r="B12" s="39"/>
      <c r="C12" s="157" t="s">
        <v>62</v>
      </c>
      <c r="D12" s="158"/>
      <c r="E12" s="158"/>
      <c r="F12" s="158"/>
      <c r="G12" s="158"/>
      <c r="H12" s="45" t="s">
        <v>58</v>
      </c>
      <c r="I12" s="45" t="s">
        <v>58</v>
      </c>
      <c r="J12" s="45" t="s">
        <v>58</v>
      </c>
      <c r="K12" s="64">
        <f>K13+K19+K21</f>
        <v>0</v>
      </c>
      <c r="L12" s="51"/>
      <c r="M12" s="17"/>
    </row>
    <row r="13" spans="1:64" x14ac:dyDescent="0.25">
      <c r="A13" s="33"/>
      <c r="B13" s="40" t="s">
        <v>164</v>
      </c>
      <c r="C13" s="144" t="s">
        <v>990</v>
      </c>
      <c r="D13" s="145"/>
      <c r="E13" s="145"/>
      <c r="F13" s="145"/>
      <c r="G13" s="145"/>
      <c r="H13" s="46" t="s">
        <v>58</v>
      </c>
      <c r="I13" s="46" t="s">
        <v>58</v>
      </c>
      <c r="J13" s="46" t="s">
        <v>58</v>
      </c>
      <c r="K13" s="65">
        <f>SUM(K14:K16)</f>
        <v>0</v>
      </c>
      <c r="L13" s="52"/>
      <c r="M13" s="17"/>
      <c r="AI13" s="56" t="s">
        <v>74</v>
      </c>
      <c r="AS13" s="65">
        <f>SUM(AJ14:AJ16)</f>
        <v>0</v>
      </c>
      <c r="AT13" s="65">
        <f>SUM(AK14:AK16)</f>
        <v>0</v>
      </c>
      <c r="AU13" s="65">
        <f>SUM(AL14:AL16)</f>
        <v>0</v>
      </c>
    </row>
    <row r="14" spans="1:64" x14ac:dyDescent="0.25">
      <c r="A14" s="34" t="s">
        <v>82</v>
      </c>
      <c r="B14" s="41" t="s">
        <v>986</v>
      </c>
      <c r="C14" s="146" t="s">
        <v>991</v>
      </c>
      <c r="D14" s="147"/>
      <c r="E14" s="147"/>
      <c r="F14" s="147"/>
      <c r="G14" s="147"/>
      <c r="H14" s="41" t="s">
        <v>895</v>
      </c>
      <c r="I14" s="76">
        <f>'Stavební rozpočet'!I519</f>
        <v>26.5</v>
      </c>
      <c r="J14" s="60"/>
      <c r="K14" s="60">
        <f>I14*J14</f>
        <v>0</v>
      </c>
      <c r="L14" s="53" t="s">
        <v>906</v>
      </c>
      <c r="M14" s="17"/>
      <c r="Z14" s="28">
        <f>IF(AQ14="5",BJ14,0)</f>
        <v>0</v>
      </c>
      <c r="AB14" s="28">
        <f>IF(AQ14="1",BH14,0)</f>
        <v>0</v>
      </c>
      <c r="AC14" s="28">
        <f>IF(AQ14="1",BI14,0)</f>
        <v>0</v>
      </c>
      <c r="AD14" s="28">
        <f>IF(AQ14="7",BH14,0)</f>
        <v>0</v>
      </c>
      <c r="AE14" s="28">
        <f>IF(AQ14="7",BI14,0)</f>
        <v>0</v>
      </c>
      <c r="AF14" s="28">
        <f>IF(AQ14="2",BH14,0)</f>
        <v>0</v>
      </c>
      <c r="AG14" s="28">
        <f>IF(AQ14="2",BI14,0)</f>
        <v>0</v>
      </c>
      <c r="AH14" s="28">
        <f>IF(AQ14="0",BJ14,0)</f>
        <v>0</v>
      </c>
      <c r="AI14" s="56" t="s">
        <v>74</v>
      </c>
      <c r="AJ14" s="60">
        <f>IF(AN14=0,K14,0)</f>
        <v>0</v>
      </c>
      <c r="AK14" s="60">
        <f>IF(AN14=15,K14,0)</f>
        <v>0</v>
      </c>
      <c r="AL14" s="60">
        <f>IF(AN14=21,K14,0)</f>
        <v>0</v>
      </c>
      <c r="AN14" s="28">
        <v>21</v>
      </c>
      <c r="AO14" s="28">
        <f>J14*0.288072646404744</f>
        <v>0</v>
      </c>
      <c r="AP14" s="28">
        <f>J14*(1-0.288072646404744)</f>
        <v>0</v>
      </c>
      <c r="AQ14" s="57" t="s">
        <v>82</v>
      </c>
      <c r="AV14" s="28">
        <f>AW14+AX14</f>
        <v>0</v>
      </c>
      <c r="AW14" s="28">
        <f>I14*AO14</f>
        <v>0</v>
      </c>
      <c r="AX14" s="28">
        <f>I14*AP14</f>
        <v>0</v>
      </c>
      <c r="AY14" s="59" t="s">
        <v>999</v>
      </c>
      <c r="AZ14" s="59" t="s">
        <v>1001</v>
      </c>
      <c r="BA14" s="56" t="s">
        <v>1003</v>
      </c>
      <c r="BC14" s="28">
        <f>AW14+AX14</f>
        <v>0</v>
      </c>
      <c r="BD14" s="28">
        <f>J14/(100-BE14)*100</f>
        <v>0</v>
      </c>
      <c r="BE14" s="28">
        <v>0</v>
      </c>
      <c r="BF14" s="28">
        <f>14</f>
        <v>14</v>
      </c>
      <c r="BH14" s="60">
        <f>I14*AO14</f>
        <v>0</v>
      </c>
      <c r="BI14" s="60">
        <f>I14*AP14</f>
        <v>0</v>
      </c>
      <c r="BJ14" s="60">
        <f>I14*J14</f>
        <v>0</v>
      </c>
      <c r="BK14" s="60" t="s">
        <v>971</v>
      </c>
      <c r="BL14" s="28">
        <v>83</v>
      </c>
    </row>
    <row r="15" spans="1:64" x14ac:dyDescent="0.25">
      <c r="A15" s="17"/>
      <c r="C15" s="148" t="s">
        <v>992</v>
      </c>
      <c r="D15" s="149"/>
      <c r="E15" s="149"/>
      <c r="F15" s="149"/>
      <c r="G15" s="149"/>
      <c r="I15" s="77">
        <v>26.5</v>
      </c>
      <c r="L15" s="14"/>
      <c r="M15" s="17"/>
    </row>
    <row r="16" spans="1:64" x14ac:dyDescent="0.25">
      <c r="A16" s="34" t="s">
        <v>83</v>
      </c>
      <c r="B16" s="41" t="s">
        <v>987</v>
      </c>
      <c r="C16" s="146" t="s">
        <v>993</v>
      </c>
      <c r="D16" s="147"/>
      <c r="E16" s="147"/>
      <c r="F16" s="147"/>
      <c r="G16" s="147"/>
      <c r="H16" s="41" t="s">
        <v>895</v>
      </c>
      <c r="I16" s="76">
        <f>'Stavební rozpočet'!I521</f>
        <v>5</v>
      </c>
      <c r="J16" s="60"/>
      <c r="K16" s="60">
        <f>I16*J16</f>
        <v>0</v>
      </c>
      <c r="L16" s="53" t="s">
        <v>906</v>
      </c>
      <c r="M16" s="17"/>
      <c r="Z16" s="28">
        <f>IF(AQ16="5",BJ16,0)</f>
        <v>0</v>
      </c>
      <c r="AB16" s="28">
        <f>IF(AQ16="1",BH16,0)</f>
        <v>0</v>
      </c>
      <c r="AC16" s="28">
        <f>IF(AQ16="1",BI16,0)</f>
        <v>0</v>
      </c>
      <c r="AD16" s="28">
        <f>IF(AQ16="7",BH16,0)</f>
        <v>0</v>
      </c>
      <c r="AE16" s="28">
        <f>IF(AQ16="7",BI16,0)</f>
        <v>0</v>
      </c>
      <c r="AF16" s="28">
        <f>IF(AQ16="2",BH16,0)</f>
        <v>0</v>
      </c>
      <c r="AG16" s="28">
        <f>IF(AQ16="2",BI16,0)</f>
        <v>0</v>
      </c>
      <c r="AH16" s="28">
        <f>IF(AQ16="0",BJ16,0)</f>
        <v>0</v>
      </c>
      <c r="AI16" s="56" t="s">
        <v>74</v>
      </c>
      <c r="AJ16" s="60">
        <f>IF(AN16=0,K16,0)</f>
        <v>0</v>
      </c>
      <c r="AK16" s="60">
        <f>IF(AN16=15,K16,0)</f>
        <v>0</v>
      </c>
      <c r="AL16" s="60">
        <f>IF(AN16=21,K16,0)</f>
        <v>0</v>
      </c>
      <c r="AN16" s="28">
        <v>21</v>
      </c>
      <c r="AO16" s="28">
        <f>J16*0.20273321858864</f>
        <v>0</v>
      </c>
      <c r="AP16" s="28">
        <f>J16*(1-0.20273321858864)</f>
        <v>0</v>
      </c>
      <c r="AQ16" s="57" t="s">
        <v>82</v>
      </c>
      <c r="AV16" s="28">
        <f>AW16+AX16</f>
        <v>0</v>
      </c>
      <c r="AW16" s="28">
        <f>I16*AO16</f>
        <v>0</v>
      </c>
      <c r="AX16" s="28">
        <f>I16*AP16</f>
        <v>0</v>
      </c>
      <c r="AY16" s="59" t="s">
        <v>999</v>
      </c>
      <c r="AZ16" s="59" t="s">
        <v>1001</v>
      </c>
      <c r="BA16" s="56" t="s">
        <v>1003</v>
      </c>
      <c r="BC16" s="28">
        <f>AW16+AX16</f>
        <v>0</v>
      </c>
      <c r="BD16" s="28">
        <f>J16/(100-BE16)*100</f>
        <v>0</v>
      </c>
      <c r="BE16" s="28">
        <v>0</v>
      </c>
      <c r="BF16" s="28">
        <f>16</f>
        <v>16</v>
      </c>
      <c r="BH16" s="60">
        <f>I16*AO16</f>
        <v>0</v>
      </c>
      <c r="BI16" s="60">
        <f>I16*AP16</f>
        <v>0</v>
      </c>
      <c r="BJ16" s="60">
        <f>I16*J16</f>
        <v>0</v>
      </c>
      <c r="BK16" s="60" t="s">
        <v>971</v>
      </c>
      <c r="BL16" s="28">
        <v>83</v>
      </c>
    </row>
    <row r="17" spans="1:64" x14ac:dyDescent="0.25">
      <c r="A17" s="17"/>
      <c r="B17" s="42" t="s">
        <v>265</v>
      </c>
      <c r="C17" s="150" t="s">
        <v>994</v>
      </c>
      <c r="D17" s="151"/>
      <c r="E17" s="151"/>
      <c r="F17" s="151"/>
      <c r="G17" s="151"/>
      <c r="H17" s="151"/>
      <c r="I17" s="151"/>
      <c r="J17" s="151"/>
      <c r="K17" s="151"/>
      <c r="L17" s="152"/>
      <c r="M17" s="17"/>
    </row>
    <row r="18" spans="1:64" x14ac:dyDescent="0.25">
      <c r="A18" s="17"/>
      <c r="C18" s="148" t="s">
        <v>995</v>
      </c>
      <c r="D18" s="149"/>
      <c r="E18" s="149"/>
      <c r="F18" s="149"/>
      <c r="G18" s="149"/>
      <c r="I18" s="77">
        <v>5</v>
      </c>
      <c r="L18" s="14"/>
      <c r="M18" s="17"/>
    </row>
    <row r="19" spans="1:64" x14ac:dyDescent="0.25">
      <c r="A19" s="33"/>
      <c r="B19" s="40" t="s">
        <v>170</v>
      </c>
      <c r="C19" s="144" t="s">
        <v>996</v>
      </c>
      <c r="D19" s="145"/>
      <c r="E19" s="145"/>
      <c r="F19" s="145"/>
      <c r="G19" s="145"/>
      <c r="H19" s="46" t="s">
        <v>58</v>
      </c>
      <c r="I19" s="46" t="s">
        <v>58</v>
      </c>
      <c r="J19" s="46" t="s">
        <v>58</v>
      </c>
      <c r="K19" s="65">
        <f>SUM(K20:K20)</f>
        <v>0</v>
      </c>
      <c r="L19" s="52"/>
      <c r="M19" s="17"/>
      <c r="AI19" s="56" t="s">
        <v>74</v>
      </c>
      <c r="AS19" s="65">
        <f>SUM(AJ20:AJ20)</f>
        <v>0</v>
      </c>
      <c r="AT19" s="65">
        <f>SUM(AK20:AK20)</f>
        <v>0</v>
      </c>
      <c r="AU19" s="65">
        <f>SUM(AL20:AL20)</f>
        <v>0</v>
      </c>
    </row>
    <row r="20" spans="1:64" x14ac:dyDescent="0.25">
      <c r="A20" s="34" t="s">
        <v>84</v>
      </c>
      <c r="B20" s="41" t="s">
        <v>988</v>
      </c>
      <c r="C20" s="146" t="s">
        <v>997</v>
      </c>
      <c r="D20" s="147"/>
      <c r="E20" s="147"/>
      <c r="F20" s="147"/>
      <c r="G20" s="147"/>
      <c r="H20" s="41" t="s">
        <v>894</v>
      </c>
      <c r="I20" s="76">
        <f>'Stavební rozpočet'!I525</f>
        <v>1</v>
      </c>
      <c r="J20" s="60"/>
      <c r="K20" s="60">
        <f>I20*J20</f>
        <v>0</v>
      </c>
      <c r="L20" s="53" t="s">
        <v>906</v>
      </c>
      <c r="M20" s="17"/>
      <c r="Z20" s="28">
        <f>IF(AQ20="5",BJ20,0)</f>
        <v>0</v>
      </c>
      <c r="AB20" s="28">
        <f>IF(AQ20="1",BH20,0)</f>
        <v>0</v>
      </c>
      <c r="AC20" s="28">
        <f>IF(AQ20="1",BI20,0)</f>
        <v>0</v>
      </c>
      <c r="AD20" s="28">
        <f>IF(AQ20="7",BH20,0)</f>
        <v>0</v>
      </c>
      <c r="AE20" s="28">
        <f>IF(AQ20="7",BI20,0)</f>
        <v>0</v>
      </c>
      <c r="AF20" s="28">
        <f>IF(AQ20="2",BH20,0)</f>
        <v>0</v>
      </c>
      <c r="AG20" s="28">
        <f>IF(AQ20="2",BI20,0)</f>
        <v>0</v>
      </c>
      <c r="AH20" s="28">
        <f>IF(AQ20="0",BJ20,0)</f>
        <v>0</v>
      </c>
      <c r="AI20" s="56" t="s">
        <v>74</v>
      </c>
      <c r="AJ20" s="60">
        <f>IF(AN20=0,K20,0)</f>
        <v>0</v>
      </c>
      <c r="AK20" s="60">
        <f>IF(AN20=15,K20,0)</f>
        <v>0</v>
      </c>
      <c r="AL20" s="60">
        <f>IF(AN20=21,K20,0)</f>
        <v>0</v>
      </c>
      <c r="AN20" s="28">
        <v>21</v>
      </c>
      <c r="AO20" s="28">
        <f>J20*0.887614830072091</f>
        <v>0</v>
      </c>
      <c r="AP20" s="28">
        <f>J20*(1-0.887614830072091)</f>
        <v>0</v>
      </c>
      <c r="AQ20" s="57" t="s">
        <v>82</v>
      </c>
      <c r="AV20" s="28">
        <f>AW20+AX20</f>
        <v>0</v>
      </c>
      <c r="AW20" s="28">
        <f>I20*AO20</f>
        <v>0</v>
      </c>
      <c r="AX20" s="28">
        <f>I20*AP20</f>
        <v>0</v>
      </c>
      <c r="AY20" s="59" t="s">
        <v>1000</v>
      </c>
      <c r="AZ20" s="59" t="s">
        <v>1001</v>
      </c>
      <c r="BA20" s="56" t="s">
        <v>1003</v>
      </c>
      <c r="BC20" s="28">
        <f>AW20+AX20</f>
        <v>0</v>
      </c>
      <c r="BD20" s="28">
        <f>J20/(100-BE20)*100</f>
        <v>0</v>
      </c>
      <c r="BE20" s="28">
        <v>0</v>
      </c>
      <c r="BF20" s="28">
        <f>20</f>
        <v>20</v>
      </c>
      <c r="BH20" s="60">
        <f>I20*AO20</f>
        <v>0</v>
      </c>
      <c r="BI20" s="60">
        <f>I20*AP20</f>
        <v>0</v>
      </c>
      <c r="BJ20" s="60">
        <f>I20*J20</f>
        <v>0</v>
      </c>
      <c r="BK20" s="60" t="s">
        <v>971</v>
      </c>
      <c r="BL20" s="28">
        <v>89</v>
      </c>
    </row>
    <row r="21" spans="1:64" x14ac:dyDescent="0.25">
      <c r="A21" s="33"/>
      <c r="B21" s="40"/>
      <c r="C21" s="144" t="s">
        <v>883</v>
      </c>
      <c r="D21" s="145"/>
      <c r="E21" s="145"/>
      <c r="F21" s="145"/>
      <c r="G21" s="145"/>
      <c r="H21" s="46" t="s">
        <v>58</v>
      </c>
      <c r="I21" s="46" t="s">
        <v>58</v>
      </c>
      <c r="J21" s="46" t="s">
        <v>58</v>
      </c>
      <c r="K21" s="65">
        <f>SUM(K22:K22)</f>
        <v>0</v>
      </c>
      <c r="L21" s="52"/>
      <c r="M21" s="17"/>
      <c r="AI21" s="56" t="s">
        <v>74</v>
      </c>
      <c r="AS21" s="65">
        <f>SUM(AJ22:AJ22)</f>
        <v>0</v>
      </c>
      <c r="AT21" s="65">
        <f>SUM(AK22:AK22)</f>
        <v>0</v>
      </c>
      <c r="AU21" s="65">
        <f>SUM(AL22:AL22)</f>
        <v>0</v>
      </c>
    </row>
    <row r="22" spans="1:64" x14ac:dyDescent="0.25">
      <c r="A22" s="36" t="s">
        <v>85</v>
      </c>
      <c r="B22" s="44" t="s">
        <v>989</v>
      </c>
      <c r="C22" s="161" t="s">
        <v>998</v>
      </c>
      <c r="D22" s="162"/>
      <c r="E22" s="162"/>
      <c r="F22" s="162"/>
      <c r="G22" s="162"/>
      <c r="H22" s="44" t="s">
        <v>897</v>
      </c>
      <c r="I22" s="82">
        <f>'Stavební rozpočet'!I527</f>
        <v>1</v>
      </c>
      <c r="J22" s="63"/>
      <c r="K22" s="63">
        <f>I22*J22</f>
        <v>0</v>
      </c>
      <c r="L22" s="55" t="s">
        <v>906</v>
      </c>
      <c r="M22" s="17"/>
      <c r="Z22" s="28">
        <f>IF(AQ22="5",BJ22,0)</f>
        <v>0</v>
      </c>
      <c r="AB22" s="28">
        <f>IF(AQ22="1",BH22,0)</f>
        <v>0</v>
      </c>
      <c r="AC22" s="28">
        <f>IF(AQ22="1",BI22,0)</f>
        <v>0</v>
      </c>
      <c r="AD22" s="28">
        <f>IF(AQ22="7",BH22,0)</f>
        <v>0</v>
      </c>
      <c r="AE22" s="28">
        <f>IF(AQ22="7",BI22,0)</f>
        <v>0</v>
      </c>
      <c r="AF22" s="28">
        <f>IF(AQ22="2",BH22,0)</f>
        <v>0</v>
      </c>
      <c r="AG22" s="28">
        <f>IF(AQ22="2",BI22,0)</f>
        <v>0</v>
      </c>
      <c r="AH22" s="28">
        <f>IF(AQ22="0",BJ22,0)</f>
        <v>0</v>
      </c>
      <c r="AI22" s="56" t="s">
        <v>74</v>
      </c>
      <c r="AJ22" s="60">
        <f>IF(AN22=0,K22,0)</f>
        <v>0</v>
      </c>
      <c r="AK22" s="60">
        <f>IF(AN22=15,K22,0)</f>
        <v>0</v>
      </c>
      <c r="AL22" s="60">
        <f>IF(AN22=21,K22,0)</f>
        <v>0</v>
      </c>
      <c r="AN22" s="28">
        <v>21</v>
      </c>
      <c r="AO22" s="28">
        <f>J22*1</f>
        <v>0</v>
      </c>
      <c r="AP22" s="28">
        <f>J22*(1-1)</f>
        <v>0</v>
      </c>
      <c r="AQ22" s="57" t="s">
        <v>82</v>
      </c>
      <c r="AV22" s="28">
        <f>AW22+AX22</f>
        <v>0</v>
      </c>
      <c r="AW22" s="28">
        <f>I22*AO22</f>
        <v>0</v>
      </c>
      <c r="AX22" s="28">
        <f>I22*AP22</f>
        <v>0</v>
      </c>
      <c r="AY22" s="59" t="s">
        <v>952</v>
      </c>
      <c r="AZ22" s="59" t="s">
        <v>1002</v>
      </c>
      <c r="BA22" s="56" t="s">
        <v>1003</v>
      </c>
      <c r="BC22" s="28">
        <f>AW22+AX22</f>
        <v>0</v>
      </c>
      <c r="BD22" s="28">
        <f>J22/(100-BE22)*100</f>
        <v>0</v>
      </c>
      <c r="BE22" s="28">
        <v>0</v>
      </c>
      <c r="BF22" s="28">
        <f>22</f>
        <v>22</v>
      </c>
      <c r="BH22" s="60">
        <f>I22*AO22</f>
        <v>0</v>
      </c>
      <c r="BI22" s="60">
        <f>I22*AP22</f>
        <v>0</v>
      </c>
      <c r="BJ22" s="60">
        <f>I22*J22</f>
        <v>0</v>
      </c>
      <c r="BK22" s="60" t="s">
        <v>971</v>
      </c>
      <c r="BL22" s="28"/>
    </row>
    <row r="23" spans="1:6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27">
        <f>ROUND(K13+K19+K21,1)</f>
        <v>0</v>
      </c>
      <c r="L23" s="5"/>
    </row>
    <row r="24" spans="1:64" ht="11.25" customHeight="1" x14ac:dyDescent="0.25">
      <c r="A24" s="20" t="s">
        <v>18</v>
      </c>
    </row>
    <row r="25" spans="1:64" x14ac:dyDescent="0.25">
      <c r="A25" s="10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</sheetData>
  <mergeCells count="39">
    <mergeCell ref="C22:G22"/>
    <mergeCell ref="A25:L25"/>
    <mergeCell ref="C16:G16"/>
    <mergeCell ref="C17:L17"/>
    <mergeCell ref="C18:G18"/>
    <mergeCell ref="C19:G19"/>
    <mergeCell ref="C20:G20"/>
    <mergeCell ref="C21:G21"/>
    <mergeCell ref="C15:G15"/>
    <mergeCell ref="A8:B9"/>
    <mergeCell ref="C8:C9"/>
    <mergeCell ref="D8:E9"/>
    <mergeCell ref="F8:F9"/>
    <mergeCell ref="G8:G9"/>
    <mergeCell ref="C10:G10"/>
    <mergeCell ref="C11:G11"/>
    <mergeCell ref="C12:G12"/>
    <mergeCell ref="C13:G13"/>
    <mergeCell ref="C14:G14"/>
    <mergeCell ref="H8:L9"/>
    <mergeCell ref="A6:B7"/>
    <mergeCell ref="C6:C7"/>
    <mergeCell ref="D6:E7"/>
    <mergeCell ref="F6:F7"/>
    <mergeCell ref="G6:G7"/>
    <mergeCell ref="H6:L7"/>
    <mergeCell ref="H4:L5"/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5"/>
  <sheetViews>
    <sheetView workbookViewId="0"/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80"/>
      <c r="B1" s="1"/>
      <c r="C1" s="89" t="s">
        <v>1004</v>
      </c>
      <c r="D1" s="90"/>
      <c r="E1" s="90"/>
      <c r="F1" s="90"/>
      <c r="G1" s="90"/>
      <c r="H1" s="90"/>
      <c r="I1" s="90"/>
    </row>
    <row r="2" spans="1:10" x14ac:dyDescent="0.25">
      <c r="A2" s="91" t="s">
        <v>0</v>
      </c>
      <c r="B2" s="92"/>
      <c r="C2" s="95" t="str">
        <f>'Stavební rozpočet'!C2</f>
        <v>Rekonstrukce RD na rekreační středisko</v>
      </c>
      <c r="D2" s="96"/>
      <c r="E2" s="98" t="s">
        <v>32</v>
      </c>
      <c r="F2" s="98" t="str">
        <f>'Stavební rozpočet'!H2</f>
        <v> </v>
      </c>
      <c r="G2" s="92"/>
      <c r="H2" s="98" t="s">
        <v>52</v>
      </c>
      <c r="I2" s="99"/>
      <c r="J2" s="17"/>
    </row>
    <row r="3" spans="1:10" x14ac:dyDescent="0.25">
      <c r="A3" s="93"/>
      <c r="B3" s="94"/>
      <c r="C3" s="97"/>
      <c r="D3" s="97"/>
      <c r="E3" s="94"/>
      <c r="F3" s="94"/>
      <c r="G3" s="94"/>
      <c r="H3" s="94"/>
      <c r="I3" s="100"/>
      <c r="J3" s="17"/>
    </row>
    <row r="4" spans="1:10" x14ac:dyDescent="0.25">
      <c r="A4" s="102" t="s">
        <v>1</v>
      </c>
      <c r="B4" s="94"/>
      <c r="C4" s="103" t="str">
        <f>'Stavební rozpočet'!C4</f>
        <v xml:space="preserve"> </v>
      </c>
      <c r="D4" s="94"/>
      <c r="E4" s="103" t="s">
        <v>33</v>
      </c>
      <c r="F4" s="103" t="str">
        <f>'Stavební rozpočet'!H4</f>
        <v> </v>
      </c>
      <c r="G4" s="94"/>
      <c r="H4" s="103" t="s">
        <v>52</v>
      </c>
      <c r="I4" s="101"/>
      <c r="J4" s="17"/>
    </row>
    <row r="5" spans="1:10" x14ac:dyDescent="0.25">
      <c r="A5" s="93"/>
      <c r="B5" s="94"/>
      <c r="C5" s="94"/>
      <c r="D5" s="94"/>
      <c r="E5" s="94"/>
      <c r="F5" s="94"/>
      <c r="G5" s="94"/>
      <c r="H5" s="94"/>
      <c r="I5" s="100"/>
      <c r="J5" s="17"/>
    </row>
    <row r="6" spans="1:10" x14ac:dyDescent="0.25">
      <c r="A6" s="102" t="s">
        <v>2</v>
      </c>
      <c r="B6" s="94"/>
      <c r="C6" s="103" t="str">
        <f>'Stavební rozpočet'!C6</f>
        <v xml:space="preserve"> </v>
      </c>
      <c r="D6" s="94"/>
      <c r="E6" s="103" t="s">
        <v>34</v>
      </c>
      <c r="F6" s="103" t="str">
        <f>'Stavební rozpočet'!H6</f>
        <v> </v>
      </c>
      <c r="G6" s="94"/>
      <c r="H6" s="103" t="s">
        <v>52</v>
      </c>
      <c r="I6" s="101"/>
      <c r="J6" s="17"/>
    </row>
    <row r="7" spans="1:10" x14ac:dyDescent="0.25">
      <c r="A7" s="93"/>
      <c r="B7" s="94"/>
      <c r="C7" s="94"/>
      <c r="D7" s="94"/>
      <c r="E7" s="94"/>
      <c r="F7" s="94"/>
      <c r="G7" s="94"/>
      <c r="H7" s="94"/>
      <c r="I7" s="100"/>
      <c r="J7" s="17"/>
    </row>
    <row r="8" spans="1:10" x14ac:dyDescent="0.25">
      <c r="A8" s="102" t="s">
        <v>3</v>
      </c>
      <c r="B8" s="94"/>
      <c r="C8" s="103" t="str">
        <f>'Stavební rozpočet'!F4</f>
        <v>22.01.2021</v>
      </c>
      <c r="D8" s="94"/>
      <c r="E8" s="103" t="s">
        <v>35</v>
      </c>
      <c r="F8" s="103" t="str">
        <f>'Stavební rozpočet'!F6</f>
        <v xml:space="preserve"> </v>
      </c>
      <c r="G8" s="94"/>
      <c r="H8" s="106" t="s">
        <v>53</v>
      </c>
      <c r="I8" s="101" t="s">
        <v>87</v>
      </c>
      <c r="J8" s="17"/>
    </row>
    <row r="9" spans="1:10" x14ac:dyDescent="0.25">
      <c r="A9" s="93"/>
      <c r="B9" s="94"/>
      <c r="C9" s="94"/>
      <c r="D9" s="94"/>
      <c r="E9" s="94"/>
      <c r="F9" s="94"/>
      <c r="G9" s="94"/>
      <c r="H9" s="94"/>
      <c r="I9" s="100"/>
      <c r="J9" s="17"/>
    </row>
    <row r="10" spans="1:10" x14ac:dyDescent="0.25">
      <c r="A10" s="102" t="s">
        <v>4</v>
      </c>
      <c r="B10" s="94"/>
      <c r="C10" s="103" t="str">
        <f>'Stavební rozpočet'!C8</f>
        <v xml:space="preserve"> </v>
      </c>
      <c r="D10" s="94"/>
      <c r="E10" s="103" t="s">
        <v>36</v>
      </c>
      <c r="F10" s="103" t="str">
        <f>'Stavební rozpočet'!H8</f>
        <v> </v>
      </c>
      <c r="G10" s="94"/>
      <c r="H10" s="106" t="s">
        <v>54</v>
      </c>
      <c r="I10" s="104" t="str">
        <f>'Stavební rozpočet'!F8</f>
        <v>22.01.2021</v>
      </c>
      <c r="J10" s="17"/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5"/>
      <c r="J11" s="17"/>
    </row>
    <row r="12" spans="1:10" ht="23.4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" customHeight="1" x14ac:dyDescent="0.25">
      <c r="A13" s="2" t="s">
        <v>6</v>
      </c>
      <c r="B13" s="111" t="s">
        <v>19</v>
      </c>
      <c r="C13" s="112"/>
      <c r="D13" s="2" t="s">
        <v>23</v>
      </c>
      <c r="E13" s="111" t="s">
        <v>37</v>
      </c>
      <c r="F13" s="112"/>
      <c r="G13" s="2" t="s">
        <v>38</v>
      </c>
      <c r="H13" s="111" t="s">
        <v>55</v>
      </c>
      <c r="I13" s="112"/>
      <c r="J13" s="17"/>
    </row>
    <row r="14" spans="1:10" ht="15.15" customHeight="1" x14ac:dyDescent="0.25">
      <c r="A14" s="3" t="s">
        <v>7</v>
      </c>
      <c r="B14" s="8" t="s">
        <v>20</v>
      </c>
      <c r="C14" s="12">
        <f>SUM('Stavební rozpočet (SO 05)'!AB12:AB552)</f>
        <v>0</v>
      </c>
      <c r="D14" s="113" t="s">
        <v>24</v>
      </c>
      <c r="E14" s="114"/>
      <c r="F14" s="12">
        <v>0</v>
      </c>
      <c r="G14" s="113" t="s">
        <v>39</v>
      </c>
      <c r="H14" s="114"/>
      <c r="I14" s="12">
        <v>0</v>
      </c>
      <c r="J14" s="17"/>
    </row>
    <row r="15" spans="1:10" ht="15.15" customHeight="1" x14ac:dyDescent="0.25">
      <c r="A15" s="4"/>
      <c r="B15" s="8" t="s">
        <v>21</v>
      </c>
      <c r="C15" s="12">
        <f>SUM('Stavební rozpočet (SO 05)'!AC12:AC552)</f>
        <v>0</v>
      </c>
      <c r="D15" s="113" t="s">
        <v>25</v>
      </c>
      <c r="E15" s="114"/>
      <c r="F15" s="12">
        <v>0</v>
      </c>
      <c r="G15" s="113" t="s">
        <v>40</v>
      </c>
      <c r="H15" s="114"/>
      <c r="I15" s="12">
        <v>0</v>
      </c>
      <c r="J15" s="17"/>
    </row>
    <row r="16" spans="1:10" ht="15.15" customHeight="1" x14ac:dyDescent="0.25">
      <c r="A16" s="3" t="s">
        <v>8</v>
      </c>
      <c r="B16" s="8" t="s">
        <v>20</v>
      </c>
      <c r="C16" s="12">
        <f>SUM('Stavební rozpočet (SO 05)'!AD12:AD552)</f>
        <v>0</v>
      </c>
      <c r="D16" s="113" t="s">
        <v>26</v>
      </c>
      <c r="E16" s="114"/>
      <c r="F16" s="12">
        <v>0</v>
      </c>
      <c r="G16" s="113" t="s">
        <v>41</v>
      </c>
      <c r="H16" s="114"/>
      <c r="I16" s="12">
        <v>0</v>
      </c>
      <c r="J16" s="17"/>
    </row>
    <row r="17" spans="1:10" ht="15.15" customHeight="1" x14ac:dyDescent="0.25">
      <c r="A17" s="4"/>
      <c r="B17" s="8" t="s">
        <v>21</v>
      </c>
      <c r="C17" s="12">
        <f>SUM('Stavební rozpočet (SO 05)'!AE12:AE552)</f>
        <v>0</v>
      </c>
      <c r="D17" s="113"/>
      <c r="E17" s="114"/>
      <c r="F17" s="13"/>
      <c r="G17" s="113" t="s">
        <v>42</v>
      </c>
      <c r="H17" s="114"/>
      <c r="I17" s="12">
        <v>0</v>
      </c>
      <c r="J17" s="17"/>
    </row>
    <row r="18" spans="1:10" ht="15.15" customHeight="1" x14ac:dyDescent="0.25">
      <c r="A18" s="3" t="s">
        <v>9</v>
      </c>
      <c r="B18" s="8" t="s">
        <v>20</v>
      </c>
      <c r="C18" s="12">
        <f>SUM('Stavební rozpočet (SO 05)'!AF12:AF552)</f>
        <v>0</v>
      </c>
      <c r="D18" s="113"/>
      <c r="E18" s="114"/>
      <c r="F18" s="13"/>
      <c r="G18" s="113" t="s">
        <v>43</v>
      </c>
      <c r="H18" s="114"/>
      <c r="I18" s="12">
        <v>0</v>
      </c>
      <c r="J18" s="17"/>
    </row>
    <row r="19" spans="1:10" ht="15.15" customHeight="1" x14ac:dyDescent="0.25">
      <c r="A19" s="4"/>
      <c r="B19" s="8" t="s">
        <v>21</v>
      </c>
      <c r="C19" s="12">
        <f>SUM('Stavební rozpočet (SO 05)'!AG12:AG552)</f>
        <v>0</v>
      </c>
      <c r="D19" s="113"/>
      <c r="E19" s="114"/>
      <c r="F19" s="13"/>
      <c r="G19" s="113" t="s">
        <v>44</v>
      </c>
      <c r="H19" s="114"/>
      <c r="I19" s="12">
        <v>0</v>
      </c>
      <c r="J19" s="17"/>
    </row>
    <row r="20" spans="1:10" ht="15.15" customHeight="1" x14ac:dyDescent="0.25">
      <c r="A20" s="115" t="s">
        <v>10</v>
      </c>
      <c r="B20" s="116"/>
      <c r="C20" s="12">
        <f>SUM('Stavební rozpočet (SO 05)'!AH12:AH552)</f>
        <v>0</v>
      </c>
      <c r="D20" s="113"/>
      <c r="E20" s="114"/>
      <c r="F20" s="13"/>
      <c r="G20" s="113"/>
      <c r="H20" s="114"/>
      <c r="I20" s="13"/>
      <c r="J20" s="17"/>
    </row>
    <row r="21" spans="1:10" ht="15.15" customHeight="1" x14ac:dyDescent="0.25">
      <c r="A21" s="115" t="s">
        <v>11</v>
      </c>
      <c r="B21" s="116"/>
      <c r="C21" s="12">
        <f>SUM('Stavební rozpočet (SO 05)'!Z12:Z552)</f>
        <v>0</v>
      </c>
      <c r="D21" s="113"/>
      <c r="E21" s="114"/>
      <c r="F21" s="13"/>
      <c r="G21" s="113"/>
      <c r="H21" s="114"/>
      <c r="I21" s="13"/>
      <c r="J21" s="17"/>
    </row>
    <row r="22" spans="1:10" ht="16.649999999999999" customHeight="1" x14ac:dyDescent="0.25">
      <c r="A22" s="115" t="s">
        <v>12</v>
      </c>
      <c r="B22" s="116"/>
      <c r="C22" s="12">
        <f>ROUND(SUM(C14:C21),1)</f>
        <v>0</v>
      </c>
      <c r="D22" s="115" t="s">
        <v>27</v>
      </c>
      <c r="E22" s="116"/>
      <c r="F22" s="12">
        <f>SUM(F14:F21)</f>
        <v>0</v>
      </c>
      <c r="G22" s="115" t="s">
        <v>45</v>
      </c>
      <c r="H22" s="116"/>
      <c r="I22" s="12">
        <f>SUM(I14:I21)</f>
        <v>0</v>
      </c>
      <c r="J22" s="17"/>
    </row>
    <row r="23" spans="1:10" ht="15.15" customHeight="1" x14ac:dyDescent="0.25">
      <c r="A23" s="5"/>
      <c r="B23" s="5"/>
      <c r="C23" s="5"/>
      <c r="D23" s="5"/>
      <c r="E23" s="5"/>
      <c r="F23" s="10"/>
      <c r="G23" s="115" t="s">
        <v>47</v>
      </c>
      <c r="H23" s="116"/>
      <c r="I23" s="29"/>
    </row>
    <row r="24" spans="1:10" x14ac:dyDescent="0.25">
      <c r="A24" s="1"/>
      <c r="B24" s="1"/>
      <c r="C24" s="1"/>
      <c r="G24" s="5"/>
      <c r="H24" s="5"/>
    </row>
    <row r="25" spans="1:10" ht="15.15" customHeight="1" x14ac:dyDescent="0.25">
      <c r="A25" s="117" t="s">
        <v>13</v>
      </c>
      <c r="B25" s="118"/>
      <c r="C25" s="19">
        <f>ROUND(SUM('Stavební rozpočet (SO 05)'!AJ12:AJ552),1)</f>
        <v>0</v>
      </c>
      <c r="D25" s="11"/>
      <c r="E25" s="1"/>
      <c r="F25" s="1"/>
      <c r="G25" s="1"/>
      <c r="H25" s="1"/>
      <c r="I25" s="1"/>
    </row>
    <row r="26" spans="1:10" ht="15.15" customHeight="1" x14ac:dyDescent="0.25">
      <c r="A26" s="117" t="s">
        <v>14</v>
      </c>
      <c r="B26" s="118"/>
      <c r="C26" s="19">
        <f>ROUND(SUM('Stavební rozpočet (SO 05)'!AK12:AK552),1)</f>
        <v>0</v>
      </c>
      <c r="D26" s="117" t="s">
        <v>29</v>
      </c>
      <c r="E26" s="118"/>
      <c r="F26" s="19">
        <f>ROUND(C26*(15/100),2)</f>
        <v>0</v>
      </c>
      <c r="G26" s="117" t="s">
        <v>49</v>
      </c>
      <c r="H26" s="118"/>
      <c r="I26" s="19">
        <f>ROUND(SUM(C25:C27),1)</f>
        <v>0</v>
      </c>
      <c r="J26" s="17"/>
    </row>
    <row r="27" spans="1:10" ht="15.15" customHeight="1" x14ac:dyDescent="0.25">
      <c r="A27" s="117" t="s">
        <v>15</v>
      </c>
      <c r="B27" s="118"/>
      <c r="C27" s="19">
        <f>ROUND(SUM('Stavební rozpočet (SO 05)'!AL12:AL552)+(F22+I22+F23+I23+I24),1)</f>
        <v>0</v>
      </c>
      <c r="D27" s="117" t="s">
        <v>30</v>
      </c>
      <c r="E27" s="118"/>
      <c r="F27" s="19">
        <f>ROUND(C27*(21/100),2)</f>
        <v>0</v>
      </c>
      <c r="G27" s="117" t="s">
        <v>50</v>
      </c>
      <c r="H27" s="118"/>
      <c r="I27" s="19">
        <f>ROUND(SUM(F26:F27)+I26,1)</f>
        <v>0</v>
      </c>
      <c r="J27" s="17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10" ht="14.4" customHeight="1" x14ac:dyDescent="0.25">
      <c r="A29" s="119" t="s">
        <v>16</v>
      </c>
      <c r="B29" s="120"/>
      <c r="C29" s="121"/>
      <c r="D29" s="119" t="s">
        <v>31</v>
      </c>
      <c r="E29" s="120"/>
      <c r="F29" s="121"/>
      <c r="G29" s="119" t="s">
        <v>51</v>
      </c>
      <c r="H29" s="120"/>
      <c r="I29" s="121"/>
      <c r="J29" s="18"/>
    </row>
    <row r="30" spans="1:10" ht="14.4" customHeight="1" x14ac:dyDescent="0.25">
      <c r="A30" s="122"/>
      <c r="B30" s="123"/>
      <c r="C30" s="124"/>
      <c r="D30" s="122"/>
      <c r="E30" s="123"/>
      <c r="F30" s="124"/>
      <c r="G30" s="122"/>
      <c r="H30" s="123"/>
      <c r="I30" s="124"/>
      <c r="J30" s="18"/>
    </row>
    <row r="31" spans="1:10" ht="14.4" customHeight="1" x14ac:dyDescent="0.25">
      <c r="A31" s="122"/>
      <c r="B31" s="123"/>
      <c r="C31" s="124"/>
      <c r="D31" s="122"/>
      <c r="E31" s="123"/>
      <c r="F31" s="124"/>
      <c r="G31" s="122"/>
      <c r="H31" s="123"/>
      <c r="I31" s="124"/>
      <c r="J31" s="18"/>
    </row>
    <row r="32" spans="1:10" ht="14.4" customHeight="1" x14ac:dyDescent="0.25">
      <c r="A32" s="122"/>
      <c r="B32" s="123"/>
      <c r="C32" s="124"/>
      <c r="D32" s="122"/>
      <c r="E32" s="123"/>
      <c r="F32" s="124"/>
      <c r="G32" s="122"/>
      <c r="H32" s="123"/>
      <c r="I32" s="124"/>
      <c r="J32" s="18"/>
    </row>
    <row r="33" spans="1:10" ht="14.4" customHeight="1" x14ac:dyDescent="0.25">
      <c r="A33" s="125" t="s">
        <v>17</v>
      </c>
      <c r="B33" s="126"/>
      <c r="C33" s="127"/>
      <c r="D33" s="125" t="s">
        <v>17</v>
      </c>
      <c r="E33" s="126"/>
      <c r="F33" s="127"/>
      <c r="G33" s="125" t="s">
        <v>17</v>
      </c>
      <c r="H33" s="126"/>
      <c r="I33" s="127"/>
      <c r="J33" s="18"/>
    </row>
    <row r="34" spans="1:10" ht="11.25" customHeight="1" x14ac:dyDescent="0.25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10" x14ac:dyDescent="0.25">
      <c r="A35" s="103"/>
      <c r="B35" s="94"/>
      <c r="C35" s="94"/>
      <c r="D35" s="94"/>
      <c r="E35" s="94"/>
      <c r="F35" s="94"/>
      <c r="G35" s="94"/>
      <c r="H35" s="94"/>
      <c r="I35" s="94"/>
    </row>
  </sheetData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Krycí list rozpočtu</vt:lpstr>
      <vt:lpstr>Rozpočet - objekty</vt:lpstr>
      <vt:lpstr>Krycí list rozpočtu (SO 01)</vt:lpstr>
      <vt:lpstr>Stavební rozpočet (SO 01)</vt:lpstr>
      <vt:lpstr>Krycí list rozpočtu (SO 03)</vt:lpstr>
      <vt:lpstr>Stavební rozpočet (SO 03)</vt:lpstr>
      <vt:lpstr>Krycí list rozpočtu (SO 04)</vt:lpstr>
      <vt:lpstr>Stavební rozpočet (SO 04)</vt:lpstr>
      <vt:lpstr>Krycí list rozpočtu (SO 05)</vt:lpstr>
      <vt:lpstr>Stavební rozpočet (SO 05)</vt:lpstr>
      <vt:lpstr>Krycí list rozpočtu (SO 06)</vt:lpstr>
      <vt:lpstr>Stavební rozpočet (SO 06)</vt:lpstr>
      <vt:lpstr>Krycí list rozpočtu (SO 07)</vt:lpstr>
      <vt:lpstr>Stavební rozpočet (SO 07)</vt:lpstr>
      <vt:lpstr>Krycí list rozpočtu (SO 08)</vt:lpstr>
      <vt:lpstr>Stavební rozpočet (SO 08)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2021-02-05T19:27:02Z</dcterms:created>
  <dcterms:modified xsi:type="dcterms:W3CDTF">2022-04-29T12:00:17Z</dcterms:modified>
</cp:coreProperties>
</file>