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585" activeTab="3"/>
  </bookViews>
  <sheets>
    <sheet name="Rozpočet - vybrané sloupce" sheetId="1" r:id="rId1"/>
    <sheet name="Rozpočet - Jen objekty celkem" sheetId="2" r:id="rId2"/>
    <sheet name="Krycí list rozpočtu" sheetId="3" r:id="rId3"/>
    <sheet name="VORN" sheetId="4" r:id="rId4"/>
    <sheet name="Stavební rozpočet" sheetId="5" state="veryHidden" r:id="rId5"/>
  </sheets>
  <definedNames>
    <definedName name="vorn_sum">'VORN'!$I$38:$I$38</definedName>
  </definedNames>
  <calcPr fullCalcOnLoad="1"/>
</workbook>
</file>

<file path=xl/sharedStrings.xml><?xml version="1.0" encoding="utf-8"?>
<sst xmlns="http://schemas.openxmlformats.org/spreadsheetml/2006/main" count="3510" uniqueCount="744">
  <si>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</si>
  <si>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</si>
  <si>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</si>
  <si>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</si>
  <si>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</si>
  <si>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</si>
  <si>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</si>
  <si>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</si>
  <si>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</si>
  <si>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</si>
  <si>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</si>
  <si>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</si>
  <si>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</si>
  <si>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</si>
  <si>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</si>
  <si>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</si>
  <si>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</si>
  <si>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</si>
  <si>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</si>
  <si>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</si>
  <si>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</si>
  <si>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</si>
  <si>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</si>
  <si>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</si>
  <si>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</si>
  <si>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</si>
  <si>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</si>
  <si>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</si>
  <si>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</si>
  <si>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</si>
  <si>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</si>
  <si>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</si>
  <si>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</si>
  <si>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</si>
  <si>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</si>
  <si>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</si>
  <si>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</si>
  <si>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</si>
  <si>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</si>
  <si>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</si>
  <si>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</si>
  <si>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</si>
  <si>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</si>
  <si>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</si>
  <si>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</si>
  <si>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</si>
  <si>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</si>
  <si>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</si>
  <si>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</si>
  <si>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</si>
  <si>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</si>
  <si>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</si>
  <si>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</si>
  <si>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</si>
  <si>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</si>
  <si>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</si>
  <si>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</si>
  <si>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</si>
  <si>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</si>
  <si>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</si>
  <si>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</si>
  <si>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</si>
  <si>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</si>
  <si>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</si>
  <si>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</si>
  <si>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</si>
  <si>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</si>
  <si>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</si>
  <si>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</si>
  <si>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</si>
  <si>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</si>
  <si>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</si>
  <si>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</si>
  <si>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</si>
  <si>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</si>
  <si>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</si>
  <si>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</si>
  <si>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</si>
  <si>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</si>
  <si>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</si>
  <si>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</si>
  <si>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</si>
  <si>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</si>
  <si>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</si>
  <si>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</si>
  <si>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</si>
  <si>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</si>
  <si>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</si>
  <si>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</si>
  <si>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</si>
  <si>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</si>
  <si>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</si>
  <si>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</si>
  <si>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</si>
  <si>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</si>
  <si>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</si>
  <si>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</si>
  <si>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</si>
  <si>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</si>
  <si>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</si>
  <si>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</si>
  <si>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</si>
  <si>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</si>
  <si>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</si>
  <si>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</si>
  <si>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</si>
  <si>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</si>
  <si>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</si>
  <si>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</si>
  <si>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</si>
  <si>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</si>
  <si>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</si>
  <si>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</si>
  <si>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</si>
  <si>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</si>
  <si>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</si>
  <si>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</si>
  <si>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</si>
  <si>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</si>
  <si>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</si>
  <si>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</si>
  <si>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</si>
  <si>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</si>
  <si>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</si>
  <si>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</si>
  <si>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</si>
  <si>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</si>
  <si>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</si>
  <si>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</si>
  <si>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</si>
  <si>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</si>
  <si>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</si>
  <si>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</si>
  <si>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</si>
  <si>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</si>
  <si>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</si>
  <si>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</si>
  <si>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</si>
  <si>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</si>
  <si>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</si>
  <si>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</si>
  <si>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</si>
  <si>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</si>
  <si>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</si>
  <si>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</si>
  <si>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</si>
  <si>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</si>
  <si>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</si>
  <si>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</si>
  <si>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</si>
  <si>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</si>
  <si>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</si>
  <si>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</si>
  <si>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</si>
  <si>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</si>
  <si>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</si>
  <si>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</si>
  <si>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</si>
  <si>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</si>
  <si>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</si>
  <si>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</si>
  <si>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</si>
  <si>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</si>
  <si>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</si>
  <si>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</si>
  <si>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</si>
  <si>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</si>
  <si>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</si>
  <si>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</si>
  <si>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</si>
  <si>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</si>
  <si>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Objekt</t>
  </si>
  <si>
    <t>01</t>
  </si>
  <si>
    <t>02</t>
  </si>
  <si>
    <t>03</t>
  </si>
  <si>
    <t>04</t>
  </si>
  <si>
    <t>05</t>
  </si>
  <si>
    <t>Kód</t>
  </si>
  <si>
    <t>132201110R00</t>
  </si>
  <si>
    <t>133201101R00</t>
  </si>
  <si>
    <t>162201102R00</t>
  </si>
  <si>
    <t>167101101R00</t>
  </si>
  <si>
    <t>979081121R00</t>
  </si>
  <si>
    <t>979081111R00</t>
  </si>
  <si>
    <t>199000005R00</t>
  </si>
  <si>
    <t>271531112R00</t>
  </si>
  <si>
    <t>273351215R00</t>
  </si>
  <si>
    <t>273351216R00</t>
  </si>
  <si>
    <t>273362021R00</t>
  </si>
  <si>
    <t>275351215R00</t>
  </si>
  <si>
    <t>275351216R00</t>
  </si>
  <si>
    <t>274351215R00</t>
  </si>
  <si>
    <t>274351216R00</t>
  </si>
  <si>
    <t>631319173R00</t>
  </si>
  <si>
    <t>2700-01VD</t>
  </si>
  <si>
    <t>2700-02VD</t>
  </si>
  <si>
    <t>273321321R00</t>
  </si>
  <si>
    <t>275321321R00</t>
  </si>
  <si>
    <t>274313621R00</t>
  </si>
  <si>
    <t>311419812R00</t>
  </si>
  <si>
    <t>342172051R00</t>
  </si>
  <si>
    <t>342172147R00</t>
  </si>
  <si>
    <t>342172145R00</t>
  </si>
  <si>
    <t>342172142R00</t>
  </si>
  <si>
    <t>3800-01VD</t>
  </si>
  <si>
    <t>416021126R00</t>
  </si>
  <si>
    <t>713134211RO3</t>
  </si>
  <si>
    <t>444172051R00</t>
  </si>
  <si>
    <t>444172115R00</t>
  </si>
  <si>
    <t>4400-01VD</t>
  </si>
  <si>
    <t>451573111R00</t>
  </si>
  <si>
    <t>631319175R00</t>
  </si>
  <si>
    <t>631312611R00</t>
  </si>
  <si>
    <t>631362021R00</t>
  </si>
  <si>
    <t>631319171R00</t>
  </si>
  <si>
    <t>631319165R00</t>
  </si>
  <si>
    <t>631319163R00</t>
  </si>
  <si>
    <t>631315611R00</t>
  </si>
  <si>
    <t>6400-01VD</t>
  </si>
  <si>
    <t>6400-02VD</t>
  </si>
  <si>
    <t>6400-31VD</t>
  </si>
  <si>
    <t>6400-32VD</t>
  </si>
  <si>
    <t>6400-41VD</t>
  </si>
  <si>
    <t>6400-42VD</t>
  </si>
  <si>
    <t>6400-43VD</t>
  </si>
  <si>
    <t>6400-21VD</t>
  </si>
  <si>
    <t>711</t>
  </si>
  <si>
    <t>711111001RZ1</t>
  </si>
  <si>
    <t>711112001RZ1</t>
  </si>
  <si>
    <t>711141559RT1</t>
  </si>
  <si>
    <t>711142559RT1</t>
  </si>
  <si>
    <t>998711101R00</t>
  </si>
  <si>
    <t>713</t>
  </si>
  <si>
    <t>713121121RT1</t>
  </si>
  <si>
    <t>998713101R00</t>
  </si>
  <si>
    <t>764</t>
  </si>
  <si>
    <t>764908110RT2</t>
  </si>
  <si>
    <t>764908106RT2</t>
  </si>
  <si>
    <t>764908103RT2</t>
  </si>
  <si>
    <t>998764101R00</t>
  </si>
  <si>
    <t>767</t>
  </si>
  <si>
    <t>767VD</t>
  </si>
  <si>
    <t>767995104R00</t>
  </si>
  <si>
    <t>998767101R00</t>
  </si>
  <si>
    <t>771</t>
  </si>
  <si>
    <t>771575107R00</t>
  </si>
  <si>
    <t>998771101R00</t>
  </si>
  <si>
    <t>784</t>
  </si>
  <si>
    <t>784191101R00</t>
  </si>
  <si>
    <t>784195222R00</t>
  </si>
  <si>
    <t>941955002R00</t>
  </si>
  <si>
    <t>941941031R00</t>
  </si>
  <si>
    <t>941941191RT3</t>
  </si>
  <si>
    <t>941941831R00</t>
  </si>
  <si>
    <t>952901111R00</t>
  </si>
  <si>
    <t>9500-01VD</t>
  </si>
  <si>
    <t>9500-02VD</t>
  </si>
  <si>
    <t>9500-03VD</t>
  </si>
  <si>
    <t>H01</t>
  </si>
  <si>
    <t>998014011R00</t>
  </si>
  <si>
    <t>M21</t>
  </si>
  <si>
    <t>210220001RT1</t>
  </si>
  <si>
    <t>M23</t>
  </si>
  <si>
    <t>230030001R00</t>
  </si>
  <si>
    <t>628522691</t>
  </si>
  <si>
    <t>28375766.A</t>
  </si>
  <si>
    <t>42981182</t>
  </si>
  <si>
    <t>61210436</t>
  </si>
  <si>
    <t>61210434</t>
  </si>
  <si>
    <t>61210407VD</t>
  </si>
  <si>
    <t>61210437VD</t>
  </si>
  <si>
    <t>597642020</t>
  </si>
  <si>
    <t>13487120</t>
  </si>
  <si>
    <t>721</t>
  </si>
  <si>
    <t>721176115R00</t>
  </si>
  <si>
    <t>721176104R00</t>
  </si>
  <si>
    <t>721176212R00</t>
  </si>
  <si>
    <t>721223426RT1</t>
  </si>
  <si>
    <t>998721101R00</t>
  </si>
  <si>
    <t>892571111R00</t>
  </si>
  <si>
    <t>721273200RT3</t>
  </si>
  <si>
    <t>722</t>
  </si>
  <si>
    <t>722172411R00</t>
  </si>
  <si>
    <t>722172412R00</t>
  </si>
  <si>
    <t>722172413R00</t>
  </si>
  <si>
    <t>722235313R00</t>
  </si>
  <si>
    <t>722235315R00</t>
  </si>
  <si>
    <t>722181212RT9</t>
  </si>
  <si>
    <t>722181214RT9</t>
  </si>
  <si>
    <t>722290234R00</t>
  </si>
  <si>
    <t>722280107R00</t>
  </si>
  <si>
    <t>998722101R00</t>
  </si>
  <si>
    <t>72200-01VD</t>
  </si>
  <si>
    <t>72200-02VD</t>
  </si>
  <si>
    <t>72200-03VD</t>
  </si>
  <si>
    <t>725</t>
  </si>
  <si>
    <t>725823121RT1</t>
  </si>
  <si>
    <t>725017162R00</t>
  </si>
  <si>
    <t>725012141R00</t>
  </si>
  <si>
    <t>725019103R00</t>
  </si>
  <si>
    <t>725845111RT1</t>
  </si>
  <si>
    <t>725823114RT1</t>
  </si>
  <si>
    <t>725823111RT1</t>
  </si>
  <si>
    <t>725860202R00</t>
  </si>
  <si>
    <t>725860213R00</t>
  </si>
  <si>
    <t>726</t>
  </si>
  <si>
    <t>726211323R00</t>
  </si>
  <si>
    <t>998725101R00</t>
  </si>
  <si>
    <t>735</t>
  </si>
  <si>
    <t>73500-01VD</t>
  </si>
  <si>
    <t>73500-02VD</t>
  </si>
  <si>
    <t>73500-03VD</t>
  </si>
  <si>
    <t>728</t>
  </si>
  <si>
    <t>728614512R00</t>
  </si>
  <si>
    <t>210810045RT1</t>
  </si>
  <si>
    <t>210810046RT3</t>
  </si>
  <si>
    <t>2100-01VD</t>
  </si>
  <si>
    <t>2100-11VD</t>
  </si>
  <si>
    <t>2100-12VD</t>
  </si>
  <si>
    <t>2100-13VD</t>
  </si>
  <si>
    <t>2100-14VD</t>
  </si>
  <si>
    <t>2100-21VD</t>
  </si>
  <si>
    <t>2100-22VD</t>
  </si>
  <si>
    <t>2100-23VD</t>
  </si>
  <si>
    <t>2100-24VD</t>
  </si>
  <si>
    <t>2100-31VD</t>
  </si>
  <si>
    <t>2100-32VD</t>
  </si>
  <si>
    <t>2100-33VD</t>
  </si>
  <si>
    <t>2100-34VD</t>
  </si>
  <si>
    <t>2100-39VD</t>
  </si>
  <si>
    <t>2100-90VD</t>
  </si>
  <si>
    <t>2100-91VD</t>
  </si>
  <si>
    <t>2100-92VD</t>
  </si>
  <si>
    <t>2100-03VD</t>
  </si>
  <si>
    <t>429148052</t>
  </si>
  <si>
    <t>132301110R00</t>
  </si>
  <si>
    <t>131301110R00</t>
  </si>
  <si>
    <t>174101101R00</t>
  </si>
  <si>
    <t>175101101RT2</t>
  </si>
  <si>
    <t>273321311R00</t>
  </si>
  <si>
    <t>722290226R00</t>
  </si>
  <si>
    <t>871241111R00</t>
  </si>
  <si>
    <t>871351111R00</t>
  </si>
  <si>
    <t>899721112R00</t>
  </si>
  <si>
    <t>8900-01VD</t>
  </si>
  <si>
    <t>8900-02VD</t>
  </si>
  <si>
    <t>28613742</t>
  </si>
  <si>
    <t>28611146.A</t>
  </si>
  <si>
    <t>Zkrácený popis</t>
  </si>
  <si>
    <t>část STAVEBNÍ</t>
  </si>
  <si>
    <t>Hloubené vykopávky</t>
  </si>
  <si>
    <t>Hloubení rýh š.do 60 cm v hor.3 do 50 m3, STROJNĚ</t>
  </si>
  <si>
    <t>Hloubení šachet v hor.3 do 100 m3</t>
  </si>
  <si>
    <t>Přemístění výkopku</t>
  </si>
  <si>
    <t>Vodorovné přemístění výkopku z hor.1-4 do 50 m</t>
  </si>
  <si>
    <t>Nakládání výkopku z hor.1-4 v množství do 100 m3</t>
  </si>
  <si>
    <t>Příplatek k odvozu za každý další 1 km  (pro skládku vzdálenou 10 km od místa stavby)</t>
  </si>
  <si>
    <t>Odvoz zeminy na skládku do 1 km</t>
  </si>
  <si>
    <t>Hloubení pro podzemní stěny, ražení a hloubení důlní</t>
  </si>
  <si>
    <t>Poplatek za skládku zeminy 1- 4</t>
  </si>
  <si>
    <t>Základy</t>
  </si>
  <si>
    <t>Polštář základu z kameniva hr. drceného 32-63 mm</t>
  </si>
  <si>
    <t>Bednění stěn základových desek - zřízení</t>
  </si>
  <si>
    <t>Bednění stěn základových desek - odstranění</t>
  </si>
  <si>
    <t>Výztuž základových desek ze svařovaných sití KARI</t>
  </si>
  <si>
    <t>Bednění stěn základových patek - zřízení</t>
  </si>
  <si>
    <t>Bednění stěn základových patek - odstranění</t>
  </si>
  <si>
    <t>Bednění stěn základových pasů - zřízení</t>
  </si>
  <si>
    <t>Bednění stěn základových pasů - odstranění</t>
  </si>
  <si>
    <t>Příplatek za stržení povrchu mazaniny tl. 15 cm</t>
  </si>
  <si>
    <t>Prostupy v základové desce - zvýšená pracnost</t>
  </si>
  <si>
    <t>Ocelové chráničky v zákl.desce a pasech  DOD+MTŽ</t>
  </si>
  <si>
    <t>Železobeton základových desek C 20/25</t>
  </si>
  <si>
    <t>Železobeton základových patek C 20/25</t>
  </si>
  <si>
    <t>Beton základových pasů prostý C 20/25</t>
  </si>
  <si>
    <t>Zdi podpěrné a volné</t>
  </si>
  <si>
    <t>Izolace perimetr. deskami tl. 8 cm, nopová fólie</t>
  </si>
  <si>
    <t>Stěny a příčky</t>
  </si>
  <si>
    <t>Montáž stěn.panelů Kingspan, lem.prvky jednoduché</t>
  </si>
  <si>
    <t>Mtž Kingspan k oc.prof.,stěna jednod.,FH,tl.150 mm</t>
  </si>
  <si>
    <t>Mtž Kingspan k oc.prof.,stěna jednod.,FH,tl.100 mm</t>
  </si>
  <si>
    <t>Mtž Kingspan k oc.prof.,stěna jednod.,FH,tl.60 mm</t>
  </si>
  <si>
    <t>Různé kompletní konstrukce nedělitelné do stav. dílů</t>
  </si>
  <si>
    <t>WC kabina, včet. dveří (bez zařiz.předmětů)</t>
  </si>
  <si>
    <t>Stropy a stropní konstrukce (pro pozemní stavby)</t>
  </si>
  <si>
    <t>Podhledy SDK, kovová.kce CD. 1x deska RF 15 mm</t>
  </si>
  <si>
    <t>Montáž parozábrany s přelepením spojů</t>
  </si>
  <si>
    <t>Zastřešení</t>
  </si>
  <si>
    <t>Montáž střeš.panelů Kingspan,lem.prvky jednoduché</t>
  </si>
  <si>
    <t>Mtž Kingspan k oc.prof, střecha jedn.,RW,tl.150 mm</t>
  </si>
  <si>
    <t>Úprava střeš.panelu v místě prostupů (VZT+kanalizace)</t>
  </si>
  <si>
    <t>Podkladní a vedlejší konstrukce (kromě vozovek a železničního svršku)</t>
  </si>
  <si>
    <t>Lože pod potrubí ze štěrkopísku 0 - 4 mm  POTR.KANALIZACE POD ZÁKL.DESKOU</t>
  </si>
  <si>
    <t>Podlahy a podlahové konstrukce</t>
  </si>
  <si>
    <t>Příplatek za stržení povrchu mazaniny tl. 24 cm</t>
  </si>
  <si>
    <t>Mazanina betonová tl. 5 - 8 cm C 16/20</t>
  </si>
  <si>
    <t>Výztuž mazanin svařovanou sítí z drátů Kari</t>
  </si>
  <si>
    <t>Příplatek za stržení povrchu mazaniny tl. 8 cm</t>
  </si>
  <si>
    <t>Příplatek za konečnou úpravu mazanin tl. 24 cm</t>
  </si>
  <si>
    <t>Příplatek za konečnou úpravu mazanin tl. 12 cm</t>
  </si>
  <si>
    <t>Mazanina betonová tl. 12 - 24 cm C 16/20</t>
  </si>
  <si>
    <t>Výplně otvorů</t>
  </si>
  <si>
    <t>Okno plastové 1500x1250 mm, s dvojsklem,  včet.kování DOD+MTŽ</t>
  </si>
  <si>
    <t>Okno plastové 1000x1250 mm, s dvojsklem,  včet.kování DOD+MTŽ</t>
  </si>
  <si>
    <t>Sekční garážová vrata 3000x3000 mm, DOD+MTŽ</t>
  </si>
  <si>
    <t>Sekční garážová vrata 3000x4500 mm, DOD+MTŽ</t>
  </si>
  <si>
    <t>Dveře vnitřní 1-kř, otevíravé 700/1970 mm, plné DOD+MTŽ  včet.kování a zárubně</t>
  </si>
  <si>
    <t>Dveře vnitřní 1-kř, otevíravé 800/1970 mm, plné DOD+MTŽ  včet.kování a zárubně</t>
  </si>
  <si>
    <t>Dveře vnitřní 1-kř, otevíravé 800/1970 mm s požární odolností min. EW 15 DP3-C, plné. DOD+MTŽ včetně zárubně a kování</t>
  </si>
  <si>
    <t>Vchodové dveře plastové 1000x2020 mm, plné,1-kř,  včet.kování a zárubně, DOD+MTŽ</t>
  </si>
  <si>
    <t>Izolace proti vodě</t>
  </si>
  <si>
    <t>Izolace proti vlhkosti vodor. nátěr ALP za studena</t>
  </si>
  <si>
    <t>Izolace proti vlhkosti svis. nátěr ALP, za studena</t>
  </si>
  <si>
    <t>Izolace proti vlhk. vodorovná pásy přitavením</t>
  </si>
  <si>
    <t>Izolace proti vlhkosti svislá pásy přitavením</t>
  </si>
  <si>
    <t>Přesun hmot pro izolace proti vodě, výšky do 6 m</t>
  </si>
  <si>
    <t>Izolace tepelné</t>
  </si>
  <si>
    <t>Izolace tepelná podlah na sucho, dvouvrstvá</t>
  </si>
  <si>
    <t>Přesun hmot pro izolace tepelné, výšky do 6 m</t>
  </si>
  <si>
    <t>Konstrukce klempířské</t>
  </si>
  <si>
    <t>Lindab odpadní trouby kruhové SROR, D 120 mm</t>
  </si>
  <si>
    <t>Lindab žlab podokapní půlkruhový R,velikost 190 mm</t>
  </si>
  <si>
    <t>Lindab kotlík žlabový kónický SOK,vel.žlabu 190 mm</t>
  </si>
  <si>
    <t>Přesun hmot pro klempířské konstr., výšky do 6 m</t>
  </si>
  <si>
    <t>Konstrukce doplňkové stavební (zámečnické)</t>
  </si>
  <si>
    <t>Ocelová vana 450 l - pro zachycení olejů ze sudů</t>
  </si>
  <si>
    <t>Výroba a montáž kov. atypických konstr. do 50 kg NOSNÝ RÁM</t>
  </si>
  <si>
    <t>Přesun hmot pro zámečnické konstr., výšky do 6 m</t>
  </si>
  <si>
    <t>Podlahy z dlaždic</t>
  </si>
  <si>
    <t>Montáž podlah keram.,režné hladké, tmel, 20x20 cm</t>
  </si>
  <si>
    <t>Přesun hmot pro podlahy z dlaždic, výšky do 6 m</t>
  </si>
  <si>
    <t>Malby</t>
  </si>
  <si>
    <t>Penetrace podkladu univerzální Primalex 1x</t>
  </si>
  <si>
    <t>Malba Primalex Plus, barva, bez penetrace, 2 x</t>
  </si>
  <si>
    <t>Lešení a stavební výtahy</t>
  </si>
  <si>
    <t>Lešení lehké pomocné, výška podlahy do 1,9 m</t>
  </si>
  <si>
    <t>Montáž lešení leh.řad.s podlahami,š.do 1 m, H 10 m</t>
  </si>
  <si>
    <t>Příplatek za každý měsíc použití lešení k pol.1031</t>
  </si>
  <si>
    <t>Demontáž lešení leh.řad.s podlahami,š.1 m, H 10 m</t>
  </si>
  <si>
    <t>Různé dokončovací konstrukce a práce na pozemních stavbách</t>
  </si>
  <si>
    <t>Vyčištění budov o výšce podlaží do 4 m</t>
  </si>
  <si>
    <t>Požární hasící přístroj s hasící schopností min. 21A  DOD+MTŽ</t>
  </si>
  <si>
    <t>Zařízení autonomí detekce a signalizace   DOD+MTŽ</t>
  </si>
  <si>
    <t>Požárně bezpečnostní a výstražné tabulky  DOD+MTŽ na stěnu</t>
  </si>
  <si>
    <t>Budovy občanské výstavby</t>
  </si>
  <si>
    <t>Přesun hmot, budovy mont. jednopodl. s pláštěm</t>
  </si>
  <si>
    <t>Elektromontáže</t>
  </si>
  <si>
    <t>Vedení uzemňovací na povrchu FeZn do 120 mm2</t>
  </si>
  <si>
    <t>Montáže potrubí</t>
  </si>
  <si>
    <t>Montáž trubních dílů přírubových do 5 kg</t>
  </si>
  <si>
    <t>Ostatní materiál</t>
  </si>
  <si>
    <t>Pás modifikovaný asfalt Glastek AL 40 mineral</t>
  </si>
  <si>
    <t>Deska izolační polystyrén samozhášivý EPS 100</t>
  </si>
  <si>
    <t>Spiro roura hladká d 125, délka 1 m</t>
  </si>
  <si>
    <t>Panel sendvičový stěnový PD2 tl. jádra 100 mm</t>
  </si>
  <si>
    <t>Panel sendvičový stěnový PD2 tl. jádra 60 mm</t>
  </si>
  <si>
    <t>Sendvičový panel střešní, tl. jádra 150 mm</t>
  </si>
  <si>
    <t>Sendvičový panel stěnový,  tl. jádra 150 mm</t>
  </si>
  <si>
    <t>Dlažba Taurus Granit matná 200x200x9 mm</t>
  </si>
  <si>
    <t>Ocelové profily pro nosný rám (sloupy+vazník+krokve po vlašsku)</t>
  </si>
  <si>
    <t>část ZTI</t>
  </si>
  <si>
    <t>Vnitřní kanalizace</t>
  </si>
  <si>
    <t>Potrubí HT odpadní svislé D 110 x 2,7 mm</t>
  </si>
  <si>
    <t>Potrubí HT připojovací D 75 x 1,9 mm</t>
  </si>
  <si>
    <t>Potrubí KG odpadní svislé D 110 x 3,2 mm</t>
  </si>
  <si>
    <t>Vpusť podlahová se zápachovou uzávěrkou HL80.1H</t>
  </si>
  <si>
    <t>Přesun hmot pro vnitřní kanalizaci, výšky do 6 m</t>
  </si>
  <si>
    <t>Zkouška těsnosti kanalizace DN do 200, vodou</t>
  </si>
  <si>
    <t>Souprava ventilační střešní HL</t>
  </si>
  <si>
    <t>Vnitřní vodovod</t>
  </si>
  <si>
    <t>Potrubí z PPR, D 20 x 2,8 mm, PN 16, vč.zed.výpom.</t>
  </si>
  <si>
    <t>Potrubí z PPR, D 25 x 3,5 mm, PN 16, vč.zed.výpom.</t>
  </si>
  <si>
    <t>Potrubí z PPR, D 32 x 4,4 mm, PN 16, vč.zed.výpom.</t>
  </si>
  <si>
    <t>Kohout kulový nerez, 1dílný  DN 15</t>
  </si>
  <si>
    <t>Kohout kulový nerez, 1dílný DN 25</t>
  </si>
  <si>
    <t>Izolace návleková MIRELON PRO tl. stěny 9 mm</t>
  </si>
  <si>
    <t>Izolace návleková MIRELON PRO tl. stěny 20 mm</t>
  </si>
  <si>
    <t>Proplach a dezinfekce vodovod.potrubí DN 80</t>
  </si>
  <si>
    <t>Tlaková zkouška vodovodního potrubí DN 40</t>
  </si>
  <si>
    <t>Přesun hmot pro vnitřní vodovod, výšky do 6 m</t>
  </si>
  <si>
    <t>Ohřívač vody 300 l, elektro+solár energie</t>
  </si>
  <si>
    <t>Solární kolektor cca 2100x1000 mm - komplet včet upevnění na střechu a rozvod ohřáté vody</t>
  </si>
  <si>
    <t>Čerpadlo pro solární kolektor  DOD+MTŽ</t>
  </si>
  <si>
    <t>Zařizovací předměty</t>
  </si>
  <si>
    <t>Baterie umyvadlová stoján. ruční, vč. otvír.odpadu</t>
  </si>
  <si>
    <t>Umyvadlo na šrouby LYRA Plus , 55 x 45 cm, bílé</t>
  </si>
  <si>
    <t>Klozet bez nádrže OLYMP+sedátko, odpad VARIO, bílý</t>
  </si>
  <si>
    <t>Výlevka závěsná MIRA s plastovou mžížkou</t>
  </si>
  <si>
    <t>Baterie sprchová nástěnná ruční, včet. příslušenství</t>
  </si>
  <si>
    <t>Baterie dřezová stojánková ruční, bez otvír.odpadu</t>
  </si>
  <si>
    <t>Baterie umyvadlová stoján. ruční, bez otvír.odpadu - k výlevce</t>
  </si>
  <si>
    <t>Sifon dřezový HL100G, D 40, 50 mm, 6/4"</t>
  </si>
  <si>
    <t>Sifon umyvadlový HL132, D 32, 40 mm</t>
  </si>
  <si>
    <t>Instalační prefabrikáty</t>
  </si>
  <si>
    <t>Modul-WC Duofix, nastavitelný, h 112 cm</t>
  </si>
  <si>
    <t>Přesun hmot pro zařizovací předměty, výšky do 6 m</t>
  </si>
  <si>
    <t>část VYTÁPĚNÍ</t>
  </si>
  <si>
    <t>Otopná tělesa</t>
  </si>
  <si>
    <t>El. přímotop dl. do 500 mm  DOD+MTŽ, včet připojení</t>
  </si>
  <si>
    <t>El. přímotop dl do 1200 mm  DOD+MTŽ, včet. připojení</t>
  </si>
  <si>
    <t>Teplovzdušné vytápění DOD+MTŽ</t>
  </si>
  <si>
    <t>část ELEKTRO</t>
  </si>
  <si>
    <t>Vzduchotechnika</t>
  </si>
  <si>
    <t>Mtž ventilátoru axiál. nízkotl. střeš. do d 200 mm</t>
  </si>
  <si>
    <t>Kabel CYKY-m 750 V 3 x 1,5 mm2 pevně uložený</t>
  </si>
  <si>
    <t>Kabel CYKY-m 750 V 3 x 2,5 mm2 pevně uložený</t>
  </si>
  <si>
    <t>Elektroměrová rozvodnice RD1, včet.vystrojeníí jističi</t>
  </si>
  <si>
    <t>Zásuvka jednoduchá</t>
  </si>
  <si>
    <t>Zásuvka dvojitá</t>
  </si>
  <si>
    <t>Zásuvka pro 3F vedení</t>
  </si>
  <si>
    <t>Vývod pro připojení spotřebiče</t>
  </si>
  <si>
    <t>Vypínač jednopólový</t>
  </si>
  <si>
    <t>Vypínač střídavý</t>
  </si>
  <si>
    <t>Vypínač sériový</t>
  </si>
  <si>
    <t>Vypínač křížový</t>
  </si>
  <si>
    <t>Svítidlo zářivkové - 1 trubice</t>
  </si>
  <si>
    <t>Svítidlo zářivkové - 2 trubice</t>
  </si>
  <si>
    <t>Svítidla žárovkové - vnitřní</t>
  </si>
  <si>
    <t>Svítidlo žárovkové - venkovní</t>
  </si>
  <si>
    <t>Světelné zdroje  - pro všechna svítidla</t>
  </si>
  <si>
    <t>Revizní zpráva elektro</t>
  </si>
  <si>
    <t>Rozvod slaboproud, včet koncových prvků</t>
  </si>
  <si>
    <t>Hromosvod, včetně revizní zprávy</t>
  </si>
  <si>
    <t>Napojení na stávající rozvody elektro</t>
  </si>
  <si>
    <t>Ventilátor do koupelny ECA Piano pr. 100 H</t>
  </si>
  <si>
    <t>venkovní vedení sítí</t>
  </si>
  <si>
    <t>Hloubení rýh š.do 60 cm v hor.4 do 50 m3,STROJNĚ</t>
  </si>
  <si>
    <t>Hloubení nezapaž. jam hor.4 do 50 m3, STROJNĚ</t>
  </si>
  <si>
    <t>Konstrukce ze zemin</t>
  </si>
  <si>
    <t>Zásyp jam, rýh, šachet se zhutněním</t>
  </si>
  <si>
    <t>Obsyp potrubí bez prohození sypaniny</t>
  </si>
  <si>
    <t>Železobeton základových desek C 16/20</t>
  </si>
  <si>
    <t>Lože pod potrubí ze štěrkopísku do 20 mm</t>
  </si>
  <si>
    <t>Zkouška tlaku potrubí závitového DN 50</t>
  </si>
  <si>
    <t>Potrubí z trub plastických, skleněných a čedičových</t>
  </si>
  <si>
    <t>Montáž trubek z tvrdého PVC ve výkopu d 90 mm</t>
  </si>
  <si>
    <t>Montáž trubek z tvrdého PVC ve výkopu d 225 mm</t>
  </si>
  <si>
    <t>Ostatní konstrukce a práce na trubním vedení</t>
  </si>
  <si>
    <t>Fólie výstražná z PVC bílá, šířka 30 cm</t>
  </si>
  <si>
    <t>Revizní šachta plastová d=400 mm, DOD+MTŽ včet. napojení potrubí</t>
  </si>
  <si>
    <t>Žumpa o objemu 20 m3  DOD+MTŽ včet napojení potrubí</t>
  </si>
  <si>
    <t>Trubka tlaková PE HD (PE 80) D 32 x 3,0 mm PN 10</t>
  </si>
  <si>
    <t>Trubka kanalizační KGEM SN 4 PVC 125x3,2x1000 mm</t>
  </si>
  <si>
    <t>Doba výstavby:</t>
  </si>
  <si>
    <t>Začátek výstavby:</t>
  </si>
  <si>
    <t>Konec výstavby:</t>
  </si>
  <si>
    <t>Zpracováno dne:</t>
  </si>
  <si>
    <t>Objednatel:</t>
  </si>
  <si>
    <t>Projektant:</t>
  </si>
  <si>
    <t>Zhotovitel:</t>
  </si>
  <si>
    <t>Zpracoval:</t>
  </si>
  <si>
    <t>M.j.</t>
  </si>
  <si>
    <t>m3</t>
  </si>
  <si>
    <t>t</t>
  </si>
  <si>
    <t>m2</t>
  </si>
  <si>
    <t>kus</t>
  </si>
  <si>
    <t>m</t>
  </si>
  <si>
    <t>kmpl</t>
  </si>
  <si>
    <t>soub</t>
  </si>
  <si>
    <t>kg</t>
  </si>
  <si>
    <t>soubor</t>
  </si>
  <si>
    <t>Množství</t>
  </si>
  <si>
    <t>Jednotková cena (Kč)</t>
  </si>
  <si>
    <t>Celkem:</t>
  </si>
  <si>
    <t>Náklady celkem (Kč)</t>
  </si>
  <si>
    <t>Slepý stavební rozpočet - Jen objekty celkem</t>
  </si>
  <si>
    <t>Poznámka:</t>
  </si>
  <si>
    <t>Náklady (Kč)</t>
  </si>
  <si>
    <t>Dodávka</t>
  </si>
  <si>
    <t>Montáž</t>
  </si>
  <si>
    <t>Celkem</t>
  </si>
  <si>
    <t>Hmotnost (t)</t>
  </si>
  <si>
    <t>F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</si>
  <si>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</si>
  <si>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</si>
  <si>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</si>
  <si>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</si>
  <si>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</si>
  <si>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</si>
  <si>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</si>
  <si>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</si>
  <si>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</si>
  <si>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</si>
  <si>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</si>
  <si>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</si>
  <si>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</si>
  <si>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</si>
  <si>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</si>
  <si>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</si>
  <si>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</si>
  <si>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</si>
  <si>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</si>
  <si>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</si>
  <si>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</si>
  <si>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</si>
  <si>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</si>
  <si>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</si>
  <si>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</si>
  <si>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</si>
  <si>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</si>
  <si>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</si>
  <si>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</si>
  <si>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</si>
  <si>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</si>
  <si>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</si>
  <si>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</si>
  <si>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</si>
  <si>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</si>
  <si>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</si>
  <si>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</si>
  <si>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</si>
  <si>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</si>
  <si>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</si>
  <si>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</si>
  <si>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</si>
  <si>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</si>
  <si>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636 70 011/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</si>
  <si>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</si>
  <si>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</si>
  <si>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</si>
  <si>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</si>
  <si>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</si>
  <si>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</si>
  <si>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</si>
  <si>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Dokumentace skutečného provedení stavby</t>
  </si>
  <si>
    <t>Geometrické vytýčení stavby</t>
  </si>
  <si>
    <t>Geometrické zaměření dokončené stavby</t>
  </si>
  <si>
    <t>Celkem ORN</t>
  </si>
  <si>
    <t>Vedlejší a ostatní rozpočtové náklady</t>
  </si>
  <si>
    <t>Kč</t>
  </si>
  <si>
    <t>%</t>
  </si>
  <si>
    <t>Základna</t>
  </si>
  <si>
    <t>Autoservis - opravna zemědělských strojů, Hostín u Vojkovic</t>
  </si>
  <si>
    <t>změna stavby před dokončením</t>
  </si>
  <si>
    <t>k.ú. Hostín u Vojkovic, č.parc.st.177/1</t>
  </si>
  <si>
    <t>Rozměry</t>
  </si>
  <si>
    <t>30.06.2018</t>
  </si>
  <si>
    <t>Jednot.</t>
  </si>
  <si>
    <t>cena (Kč)</t>
  </si>
  <si>
    <t>Český chřest, s.r.o., Hlavní 545, 253 01 Chýně</t>
  </si>
  <si>
    <t>PMM projekt s.r.o.,</t>
  </si>
  <si>
    <t>Cenová</t>
  </si>
  <si>
    <t>soustava</t>
  </si>
  <si>
    <t>RTS 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</si>
  <si>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</si>
  <si>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</si>
  <si>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</si>
  <si>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</si>
  <si>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</si>
  <si>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</si>
  <si>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</si>
  <si>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</si>
  <si>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</si>
  <si>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</si>
  <si>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13_</t>
  </si>
  <si>
    <t>16_</t>
  </si>
  <si>
    <t>19_</t>
  </si>
  <si>
    <t>27_</t>
  </si>
  <si>
    <t>31_</t>
  </si>
  <si>
    <t>34_</t>
  </si>
  <si>
    <t>38_</t>
  </si>
  <si>
    <t>41_</t>
  </si>
  <si>
    <t>44_</t>
  </si>
  <si>
    <t>45_</t>
  </si>
  <si>
    <t>63_</t>
  </si>
  <si>
    <t>64_</t>
  </si>
  <si>
    <t>711_</t>
  </si>
  <si>
    <t>713_</t>
  </si>
  <si>
    <t>764_</t>
  </si>
  <si>
    <t>767_</t>
  </si>
  <si>
    <t>771_</t>
  </si>
  <si>
    <t>784_</t>
  </si>
  <si>
    <t>94_</t>
  </si>
  <si>
    <t>95_</t>
  </si>
  <si>
    <t>H01_</t>
  </si>
  <si>
    <t>M21_</t>
  </si>
  <si>
    <t>M23_</t>
  </si>
  <si>
    <t>Z99999_</t>
  </si>
  <si>
    <t>721_</t>
  </si>
  <si>
    <t>722_</t>
  </si>
  <si>
    <t>725_</t>
  </si>
  <si>
    <t>726_</t>
  </si>
  <si>
    <t>735_</t>
  </si>
  <si>
    <t>728_</t>
  </si>
  <si>
    <t>17_</t>
  </si>
  <si>
    <t>87_</t>
  </si>
  <si>
    <t>89_</t>
  </si>
  <si>
    <t>01_1_</t>
  </si>
  <si>
    <t>01_2_</t>
  </si>
  <si>
    <t>01_3_</t>
  </si>
  <si>
    <t>01_4_</t>
  </si>
  <si>
    <t>01_6_</t>
  </si>
  <si>
    <t>01_71_</t>
  </si>
  <si>
    <t>01_76_</t>
  </si>
  <si>
    <t>01_77_</t>
  </si>
  <si>
    <t>01_78_</t>
  </si>
  <si>
    <t>01_9_</t>
  </si>
  <si>
    <t>01_Z_</t>
  </si>
  <si>
    <t>02_72_</t>
  </si>
  <si>
    <t>03_73_</t>
  </si>
  <si>
    <t>04_72_</t>
  </si>
  <si>
    <t>04_9_</t>
  </si>
  <si>
    <t>04_Z_</t>
  </si>
  <si>
    <t>05_1_</t>
  </si>
  <si>
    <t>05_2_</t>
  </si>
  <si>
    <t>05_4_</t>
  </si>
  <si>
    <t>05_72_</t>
  </si>
  <si>
    <t>05_8_</t>
  </si>
  <si>
    <t>05_Z_</t>
  </si>
  <si>
    <t>01_</t>
  </si>
  <si>
    <t>02_</t>
  </si>
  <si>
    <t>03_</t>
  </si>
  <si>
    <t>04_</t>
  </si>
  <si>
    <t>05_</t>
  </si>
  <si>
    <t>OBJEKT 01</t>
  </si>
  <si>
    <t>OBJEKT 02</t>
  </si>
  <si>
    <t>OBJEKT 03</t>
  </si>
  <si>
    <t>OBJEKT 04</t>
  </si>
  <si>
    <t>OBJEKT 05</t>
  </si>
  <si>
    <t>Venkovní vedení sítí</t>
  </si>
  <si>
    <t>- rozpočet byl sestaven podle projektové dokumentace vypracované v červnu 2018 pro změnu stavby před dokončením</t>
  </si>
  <si>
    <t xml:space="preserve"> - úroveň -0,500 uvažujeme na úrovni zeminy po odebrání podsypu při demolici stávajícího objektu,  a proto není počítáno s odkopávkou zeminy. </t>
  </si>
  <si>
    <t xml:space="preserve">   V zemních pracech je započítáno pouze hloubení pro základové pasy a patky.</t>
  </si>
  <si>
    <t xml:space="preserve"> - likvidace vykopané zeminy je naceněna  jako odvoz na skládku včetně poplatku za skládku</t>
  </si>
  <si>
    <t>Rozpočet neobsahuje:</t>
  </si>
  <si>
    <t>- vybavení nábytkem  (kuch. linka,…)</t>
  </si>
  <si>
    <t>Mtž panelů k oc.prof.,stěna jednod.,FH,tl.150 mm</t>
  </si>
  <si>
    <t>Mtž panelů k oc.prof.,stěna jednod.,FH,tl.100 mm</t>
  </si>
  <si>
    <t>Mtž panelů k oc.prof.,stěna jednod.,FH,tl.60 mm</t>
  </si>
  <si>
    <t>Mtž panelů k oc.prof, střecha jedn.,RW,tl.150 mm</t>
  </si>
  <si>
    <t xml:space="preserve">Montáž střeš.panelů ,lem.prvky jednoduché  včet. materiálu </t>
  </si>
  <si>
    <t>AL kotlík žlabový kónický ,vel.žlabu 190 mm</t>
  </si>
  <si>
    <t>AL odpadní trouby kruhové , D 120 mm</t>
  </si>
  <si>
    <t>AL žlab podokapní půlkruhový ,velikost 190 mm</t>
  </si>
  <si>
    <t>Penetrace podkladu univerzální  1x</t>
  </si>
  <si>
    <t>Malba , barva, bez penetrace, 2 x</t>
  </si>
  <si>
    <t>Pás modifikovaný asfalt  mineral</t>
  </si>
  <si>
    <t>Dlažba  matná 200x200x9 mm</t>
  </si>
  <si>
    <t>Izolace návleková  tl. stěny 9 mm</t>
  </si>
  <si>
    <t>Izolace návleková  tl. stěny 20 mm</t>
  </si>
  <si>
    <t>Umyvadlo na šrouby , 55 x 45 cm, bílé</t>
  </si>
  <si>
    <t>Klozet bez nádrže +sedátko, odpad VARIO, bílý</t>
  </si>
  <si>
    <t>Výlevka závěsná  s plastovou mžížkou</t>
  </si>
  <si>
    <t>Ventilátor do koupelny pr. 100 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</si>
</sst>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000\ 00"/>
    <numFmt numFmtId="167" formatCode="[$-405]d\.\ mmmm\ yyyy"/>
  </numFmts>
  <fonts count="34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b/>
      <sz val="10"/>
      <color indexed="54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1" fillId="12" borderId="0" applyNumberFormat="0" applyBorder="0" applyAlignment="0" applyProtection="0"/>
    <xf numFmtId="0" fontId="22" fillId="10" borderId="2" applyNumberFormat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0" fillId="5" borderId="6" applyNumberFormat="0" applyFont="0" applyAlignment="0" applyProtection="0"/>
    <xf numFmtId="43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8" applyNumberFormat="0" applyAlignment="0" applyProtection="0"/>
    <xf numFmtId="0" fontId="32" fillId="4" borderId="8" applyNumberFormat="0" applyAlignment="0" applyProtection="0"/>
    <xf numFmtId="0" fontId="20" fillId="4" borderId="9" applyNumberFormat="0" applyAlignment="0" applyProtection="0"/>
    <xf numFmtId="0" fontId="3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</cellStyleXfs>
  <cellXfs count="222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15" borderId="0" xfId="0" applyNumberFormat="1" applyFont="1" applyFill="1" applyBorder="1" applyAlignment="1" applyProtection="1">
      <alignment horizontal="right" vertical="center"/>
      <protection locked="0"/>
    </xf>
    <xf numFmtId="4" fontId="5" fillId="15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6" fillId="16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9" fillId="17" borderId="21" xfId="0" applyNumberFormat="1" applyFont="1" applyFill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1" fillId="0" borderId="21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0" fillId="17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3" fillId="18" borderId="13" xfId="0" applyNumberFormat="1" applyFont="1" applyFill="1" applyBorder="1" applyAlignment="1" applyProtection="1">
      <alignment horizontal="left" vertical="center"/>
      <protection/>
    </xf>
    <xf numFmtId="49" fontId="14" fillId="16" borderId="0" xfId="0" applyNumberFormat="1" applyFont="1" applyFill="1" applyBorder="1" applyAlignment="1" applyProtection="1">
      <alignment horizontal="left" vertical="center"/>
      <protection/>
    </xf>
    <xf numFmtId="49" fontId="13" fillId="18" borderId="0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5" fillId="18" borderId="13" xfId="0" applyNumberFormat="1" applyFont="1" applyFill="1" applyBorder="1" applyAlignment="1" applyProtection="1">
      <alignment horizontal="left" vertical="center"/>
      <protection/>
    </xf>
    <xf numFmtId="49" fontId="6" fillId="16" borderId="0" xfId="0" applyNumberFormat="1" applyFont="1" applyFill="1" applyBorder="1" applyAlignment="1" applyProtection="1">
      <alignment horizontal="left" vertical="center"/>
      <protection/>
    </xf>
    <xf numFmtId="49" fontId="15" fillId="18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13" fillId="18" borderId="13" xfId="0" applyNumberFormat="1" applyFont="1" applyFill="1" applyBorder="1" applyAlignment="1" applyProtection="1">
      <alignment horizontal="left" vertical="center"/>
      <protection locked="0"/>
    </xf>
    <xf numFmtId="49" fontId="14" fillId="16" borderId="0" xfId="0" applyNumberFormat="1" applyFont="1" applyFill="1" applyBorder="1" applyAlignment="1" applyProtection="1">
      <alignment horizontal="left" vertical="center"/>
      <protection locked="0"/>
    </xf>
    <xf numFmtId="49" fontId="13" fillId="18" borderId="0" xfId="0" applyNumberFormat="1" applyFont="1" applyFill="1" applyBorder="1" applyAlignment="1" applyProtection="1">
      <alignment horizontal="left" vertical="center"/>
      <protection locked="0"/>
    </xf>
    <xf numFmtId="49" fontId="15" fillId="18" borderId="13" xfId="0" applyNumberFormat="1" applyFont="1" applyFill="1" applyBorder="1" applyAlignment="1" applyProtection="1">
      <alignment horizontal="right" vertical="center"/>
      <protection/>
    </xf>
    <xf numFmtId="49" fontId="6" fillId="16" borderId="0" xfId="0" applyNumberFormat="1" applyFont="1" applyFill="1" applyBorder="1" applyAlignment="1" applyProtection="1">
      <alignment horizontal="right" vertical="center"/>
      <protection/>
    </xf>
    <xf numFmtId="49" fontId="15" fillId="18" borderId="0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5" fillId="15" borderId="14" xfId="0" applyNumberFormat="1" applyFont="1" applyFill="1" applyBorder="1" applyAlignment="1" applyProtection="1">
      <alignment horizontal="right" vertical="center"/>
      <protection locked="0"/>
    </xf>
    <xf numFmtId="4" fontId="15" fillId="18" borderId="13" xfId="0" applyNumberFormat="1" applyFont="1" applyFill="1" applyBorder="1" applyAlignment="1" applyProtection="1">
      <alignment horizontal="right" vertical="center"/>
      <protection/>
    </xf>
    <xf numFmtId="4" fontId="15" fillId="18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1" fillId="9" borderId="21" xfId="0" applyNumberFormat="1" applyFont="1" applyFill="1" applyBorder="1" applyAlignment="1" applyProtection="1">
      <alignment horizontal="right" vertical="center"/>
      <protection locked="0"/>
    </xf>
    <xf numFmtId="4" fontId="1" fillId="9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quotePrefix="1">
      <alignment/>
    </xf>
    <xf numFmtId="0" fontId="17" fillId="0" borderId="0" xfId="0" applyFont="1" applyBorder="1" applyAlignment="1">
      <alignment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0" fontId="4" fillId="9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4" fillId="9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" fontId="5" fillId="9" borderId="0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NumberFormat="1" applyFont="1" applyFill="1" applyBorder="1" applyAlignment="1" applyProtection="1">
      <alignment horizontal="right" vertical="center"/>
      <protection/>
    </xf>
    <xf numFmtId="49" fontId="3" fillId="16" borderId="0" xfId="0" applyNumberFormat="1" applyFont="1" applyFill="1" applyBorder="1" applyAlignment="1" applyProtection="1">
      <alignment horizontal="left" vertical="center"/>
      <protection/>
    </xf>
    <xf numFmtId="0" fontId="3" fillId="16" borderId="0" xfId="0" applyNumberFormat="1" applyFont="1" applyFill="1" applyBorder="1" applyAlignment="1" applyProtection="1">
      <alignment horizontal="left" vertical="center"/>
      <protection/>
    </xf>
    <xf numFmtId="49" fontId="3" fillId="16" borderId="0" xfId="0" applyNumberFormat="1" applyFont="1" applyFill="1" applyBorder="1" applyAlignment="1" applyProtection="1">
      <alignment horizontal="right" vertical="center"/>
      <protection/>
    </xf>
    <xf numFmtId="0" fontId="3" fillId="16" borderId="0" xfId="0" applyNumberFormat="1" applyFont="1" applyFill="1" applyBorder="1" applyAlignment="1" applyProtection="1">
      <alignment horizontal="right" vertical="center"/>
      <protection/>
    </xf>
    <xf numFmtId="49" fontId="3" fillId="16" borderId="0" xfId="0" applyNumberFormat="1" applyFont="1" applyFill="1" applyBorder="1" applyAlignment="1" applyProtection="1">
      <alignment horizontal="right" vertical="center"/>
      <protection locked="0"/>
    </xf>
    <xf numFmtId="4" fontId="6" fillId="16" borderId="0" xfId="0" applyNumberFormat="1" applyFont="1" applyFill="1" applyBorder="1" applyAlignment="1" applyProtection="1">
      <alignment horizontal="right" vertical="center"/>
      <protection/>
    </xf>
    <xf numFmtId="0" fontId="6" fillId="16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3" fillId="16" borderId="0" xfId="0" applyNumberFormat="1" applyFont="1" applyFill="1" applyBorder="1" applyAlignment="1" applyProtection="1">
      <alignment horizontal="right" vertical="center"/>
      <protection/>
    </xf>
    <xf numFmtId="49" fontId="3" fillId="19" borderId="0" xfId="0" applyNumberFormat="1" applyFont="1" applyFill="1" applyBorder="1" applyAlignment="1" applyProtection="1">
      <alignment horizontal="left" vertical="center"/>
      <protection/>
    </xf>
    <xf numFmtId="0" fontId="3" fillId="19" borderId="0" xfId="0" applyNumberFormat="1" applyFont="1" applyFill="1" applyBorder="1" applyAlignment="1" applyProtection="1">
      <alignment horizontal="left" vertical="center"/>
      <protection/>
    </xf>
    <xf numFmtId="49" fontId="3" fillId="19" borderId="0" xfId="0" applyNumberFormat="1" applyFont="1" applyFill="1" applyBorder="1" applyAlignment="1" applyProtection="1">
      <alignment horizontal="left" vertical="center"/>
      <protection/>
    </xf>
    <xf numFmtId="49" fontId="3" fillId="19" borderId="0" xfId="0" applyNumberFormat="1" applyFont="1" applyFill="1" applyBorder="1" applyAlignment="1" applyProtection="1">
      <alignment horizontal="right" vertical="center"/>
      <protection/>
    </xf>
    <xf numFmtId="0" fontId="3" fillId="19" borderId="0" xfId="0" applyNumberFormat="1" applyFont="1" applyFill="1" applyBorder="1" applyAlignment="1" applyProtection="1">
      <alignment horizontal="right" vertical="center"/>
      <protection/>
    </xf>
    <xf numFmtId="49" fontId="3" fillId="19" borderId="0" xfId="0" applyNumberFormat="1" applyFont="1" applyFill="1" applyBorder="1" applyAlignment="1" applyProtection="1">
      <alignment horizontal="right" vertical="center"/>
      <protection locked="0"/>
    </xf>
    <xf numFmtId="4" fontId="6" fillId="19" borderId="0" xfId="0" applyNumberFormat="1" applyFont="1" applyFill="1" applyBorder="1" applyAlignment="1" applyProtection="1">
      <alignment horizontal="right" vertical="center"/>
      <protection/>
    </xf>
    <xf numFmtId="0" fontId="6" fillId="19" borderId="0" xfId="0" applyNumberFormat="1" applyFont="1" applyFill="1" applyBorder="1" applyAlignment="1" applyProtection="1">
      <alignment horizontal="right" vertical="center"/>
      <protection/>
    </xf>
    <xf numFmtId="4" fontId="3" fillId="19" borderId="0" xfId="0" applyNumberFormat="1" applyFont="1" applyFill="1" applyBorder="1" applyAlignment="1" applyProtection="1">
      <alignment horizontal="righ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49" fontId="3" fillId="19" borderId="13" xfId="0" applyNumberFormat="1" applyFont="1" applyFill="1" applyBorder="1" applyAlignment="1" applyProtection="1">
      <alignment horizontal="left" vertical="center"/>
      <protection/>
    </xf>
    <xf numFmtId="0" fontId="3" fillId="19" borderId="13" xfId="0" applyNumberFormat="1" applyFont="1" applyFill="1" applyBorder="1" applyAlignment="1" applyProtection="1">
      <alignment horizontal="left" vertical="center"/>
      <protection/>
    </xf>
    <xf numFmtId="49" fontId="3" fillId="19" borderId="13" xfId="0" applyNumberFormat="1" applyFont="1" applyFill="1" applyBorder="1" applyAlignment="1" applyProtection="1">
      <alignment horizontal="left" vertical="center"/>
      <protection/>
    </xf>
    <xf numFmtId="49" fontId="3" fillId="19" borderId="13" xfId="0" applyNumberFormat="1" applyFont="1" applyFill="1" applyBorder="1" applyAlignment="1" applyProtection="1">
      <alignment horizontal="right" vertical="center"/>
      <protection/>
    </xf>
    <xf numFmtId="0" fontId="3" fillId="19" borderId="13" xfId="0" applyNumberFormat="1" applyFont="1" applyFill="1" applyBorder="1" applyAlignment="1" applyProtection="1">
      <alignment horizontal="right" vertical="center"/>
      <protection/>
    </xf>
    <xf numFmtId="4" fontId="3" fillId="19" borderId="13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28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11" fillId="0" borderId="52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50" xfId="0" applyNumberFormat="1" applyFont="1" applyFill="1" applyBorder="1" applyAlignment="1" applyProtection="1">
      <alignment horizontal="left" vertical="center"/>
      <protection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53" xfId="0" applyNumberFormat="1" applyFont="1" applyFill="1" applyBorder="1" applyAlignment="1" applyProtection="1">
      <alignment horizontal="left" vertical="center"/>
      <protection/>
    </xf>
    <xf numFmtId="49" fontId="10" fillId="17" borderId="54" xfId="0" applyNumberFormat="1" applyFont="1" applyFill="1" applyBorder="1" applyAlignment="1" applyProtection="1">
      <alignment horizontal="left" vertical="center"/>
      <protection/>
    </xf>
    <xf numFmtId="0" fontId="10" fillId="17" borderId="55" xfId="0" applyNumberFormat="1" applyFont="1" applyFill="1" applyBorder="1" applyAlignment="1" applyProtection="1">
      <alignment horizontal="left" vertical="center"/>
      <protection/>
    </xf>
    <xf numFmtId="49" fontId="11" fillId="0" borderId="56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45" xfId="0" applyNumberFormat="1" applyFont="1" applyFill="1" applyBorder="1" applyAlignment="1" applyProtection="1">
      <alignment horizontal="left" vertical="center"/>
      <protection/>
    </xf>
    <xf numFmtId="49" fontId="10" fillId="0" borderId="54" xfId="0" applyNumberFormat="1" applyFont="1" applyFill="1" applyBorder="1" applyAlignment="1" applyProtection="1">
      <alignment horizontal="left" vertical="center"/>
      <protection/>
    </xf>
    <xf numFmtId="0" fontId="10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54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8" fillId="0" borderId="55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9" borderId="0" xfId="0" applyNumberFormat="1" applyFont="1" applyFill="1" applyBorder="1" applyAlignment="1" applyProtection="1">
      <alignment horizontal="left" vertical="center" wrapText="1"/>
      <protection locked="0"/>
    </xf>
    <xf numFmtId="0" fontId="1" fillId="9" borderId="0" xfId="0" applyNumberFormat="1" applyFont="1" applyFill="1" applyBorder="1" applyAlignment="1" applyProtection="1">
      <alignment horizontal="left" vertical="center"/>
      <protection locked="0"/>
    </xf>
    <xf numFmtId="49" fontId="1" fillId="9" borderId="28" xfId="0" applyNumberFormat="1" applyFont="1" applyFill="1" applyBorder="1" applyAlignment="1" applyProtection="1">
      <alignment horizontal="left" vertical="center"/>
      <protection locked="0"/>
    </xf>
    <xf numFmtId="0" fontId="1" fillId="9" borderId="28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5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0" fillId="0" borderId="58" xfId="0" applyNumberFormat="1" applyFont="1" applyFill="1" applyBorder="1" applyAlignment="1" applyProtection="1">
      <alignment horizontal="left" vertical="center"/>
      <protection/>
    </xf>
    <xf numFmtId="0" fontId="10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59" xfId="0" applyNumberFormat="1" applyFont="1" applyFill="1" applyBorder="1" applyAlignment="1" applyProtection="1">
      <alignment horizontal="left" vertical="center"/>
      <protection/>
    </xf>
    <xf numFmtId="4" fontId="10" fillId="0" borderId="58" xfId="0" applyNumberFormat="1" applyFont="1" applyFill="1" applyBorder="1" applyAlignment="1" applyProtection="1">
      <alignment horizontal="right" vertical="center"/>
      <protection/>
    </xf>
    <xf numFmtId="0" fontId="10" fillId="0" borderId="30" xfId="0" applyNumberFormat="1" applyFont="1" applyFill="1" applyBorder="1" applyAlignment="1" applyProtection="1">
      <alignment horizontal="right" vertical="center"/>
      <protection/>
    </xf>
    <xf numFmtId="0" fontId="10" fillId="0" borderId="59" xfId="0" applyNumberFormat="1" applyFont="1" applyFill="1" applyBorder="1" applyAlignment="1" applyProtection="1">
      <alignment horizontal="righ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1" fillId="15" borderId="0" xfId="0" applyNumberFormat="1" applyFont="1" applyFill="1" applyBorder="1" applyAlignment="1" applyProtection="1">
      <alignment horizontal="left" vertical="center"/>
      <protection locked="0"/>
    </xf>
    <xf numFmtId="0" fontId="1" fillId="15" borderId="0" xfId="0" applyNumberFormat="1" applyFont="1" applyFill="1" applyBorder="1" applyAlignment="1" applyProtection="1">
      <alignment horizontal="left" vertical="center"/>
      <protection locked="0"/>
    </xf>
    <xf numFmtId="0" fontId="1" fillId="15" borderId="31" xfId="0" applyNumberFormat="1" applyFont="1" applyFill="1" applyBorder="1" applyAlignment="1" applyProtection="1">
      <alignment horizontal="left" vertical="center"/>
      <protection locked="0"/>
    </xf>
    <xf numFmtId="0" fontId="1" fillId="1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15" borderId="28" xfId="0" applyNumberFormat="1" applyFont="1" applyFill="1" applyBorder="1" applyAlignment="1" applyProtection="1">
      <alignment horizontal="left" vertical="center"/>
      <protection locked="0"/>
    </xf>
    <xf numFmtId="0" fontId="1" fillId="15" borderId="51" xfId="0" applyNumberFormat="1" applyFont="1" applyFill="1" applyBorder="1" applyAlignment="1" applyProtection="1">
      <alignment horizontal="left" vertical="center"/>
      <protection locked="0"/>
    </xf>
    <xf numFmtId="49" fontId="1" fillId="15" borderId="15" xfId="0" applyNumberFormat="1" applyFont="1" applyFill="1" applyBorder="1" applyAlignment="1" applyProtection="1">
      <alignment horizontal="left" vertical="center"/>
      <protection locked="0"/>
    </xf>
    <xf numFmtId="0" fontId="1" fillId="15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 [0]" xfId="36"/>
    <cellStyle name="Chybně" xfId="37"/>
    <cellStyle name="Kontrolní buňka" xfId="38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3"/>
  <sheetViews>
    <sheetView zoomScalePageLayoutView="0" workbookViewId="0" topLeftCell="A1">
      <pane ySplit="10" topLeftCell="BM206" activePane="bottomLeft" state="frozen"/>
      <selection pane="topLeft" activeCell="A1" sqref="A1"/>
      <selection pane="bottomLeft" activeCell="L191" sqref="L191:AX191"/>
    </sheetView>
  </sheetViews>
  <sheetFormatPr defaultColWidth="11.57421875" defaultRowHeight="12.75"/>
  <cols>
    <col min="1" max="73" width="2.8515625" style="0" customWidth="1"/>
    <col min="251" max="254" width="12.140625" style="0" hidden="1" customWidth="1"/>
  </cols>
  <sheetData>
    <row r="1" spans="1:73" ht="72.75" customHeigh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</row>
    <row r="2" spans="1:74" ht="12.75">
      <c r="A2" s="145" t="s">
        <v>1</v>
      </c>
      <c r="B2" s="146"/>
      <c r="C2" s="146"/>
      <c r="D2" s="146"/>
      <c r="E2" s="146"/>
      <c r="F2" s="147" t="str">
        <f>'Stavební rozpočet'!D2</f>
        <v>Autoservis - opravna zemědělských strojů, Hostín u Vojkovic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9" t="s">
        <v>543</v>
      </c>
      <c r="AK2" s="146"/>
      <c r="AL2" s="146"/>
      <c r="AM2" s="146"/>
      <c r="AN2" s="146"/>
      <c r="AO2" s="146"/>
      <c r="AP2" s="146"/>
      <c r="AQ2" s="150" t="str">
        <f>'Stavební rozpočet'!G2</f>
        <v> </v>
      </c>
      <c r="AR2" s="146"/>
      <c r="AS2" s="146"/>
      <c r="AT2" s="146"/>
      <c r="AU2" s="146"/>
      <c r="AV2" s="146"/>
      <c r="AW2" s="150" t="s">
        <v>547</v>
      </c>
      <c r="AX2" s="146"/>
      <c r="AY2" s="146"/>
      <c r="AZ2" s="146"/>
      <c r="BA2" s="146"/>
      <c r="BB2" s="146"/>
      <c r="BC2" s="146"/>
      <c r="BD2" s="150" t="str">
        <f>'Stavební rozpočet'!J2</f>
        <v>Český chřest, s.r.o., Hlavní 545, 253 01 Chýně</v>
      </c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51"/>
      <c r="BV2" s="8"/>
    </row>
    <row r="3" spans="1:74" ht="12.75">
      <c r="A3" s="139"/>
      <c r="B3" s="132"/>
      <c r="C3" s="132"/>
      <c r="D3" s="132"/>
      <c r="E3" s="132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7"/>
      <c r="BV3" s="8"/>
    </row>
    <row r="4" spans="1:74" ht="12.75">
      <c r="A4" s="131" t="s">
        <v>2</v>
      </c>
      <c r="B4" s="132"/>
      <c r="C4" s="132"/>
      <c r="D4" s="132"/>
      <c r="E4" s="132"/>
      <c r="F4" s="135" t="str">
        <f>'Stavební rozpočet'!D4</f>
        <v>změna stavby před dokončením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6" t="s">
        <v>544</v>
      </c>
      <c r="AK4" s="132"/>
      <c r="AL4" s="132"/>
      <c r="AM4" s="132"/>
      <c r="AN4" s="132"/>
      <c r="AO4" s="132"/>
      <c r="AP4" s="132"/>
      <c r="AQ4" s="135" t="str">
        <f>'Stavební rozpočet'!G4</f>
        <v> </v>
      </c>
      <c r="AR4" s="132"/>
      <c r="AS4" s="132"/>
      <c r="AT4" s="132"/>
      <c r="AU4" s="132"/>
      <c r="AV4" s="132"/>
      <c r="AW4" s="135" t="s">
        <v>548</v>
      </c>
      <c r="AX4" s="132"/>
      <c r="AY4" s="132"/>
      <c r="AZ4" s="132"/>
      <c r="BA4" s="132"/>
      <c r="BB4" s="132"/>
      <c r="BC4" s="132"/>
      <c r="BD4" s="135" t="str">
        <f>'Stavební rozpočet'!J4</f>
        <v> 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7"/>
      <c r="BV4" s="8"/>
    </row>
    <row r="5" spans="1:74" ht="12.75">
      <c r="A5" s="139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7"/>
      <c r="BV5" s="8"/>
    </row>
    <row r="6" spans="1:74" ht="12.75">
      <c r="A6" s="131" t="s">
        <v>3</v>
      </c>
      <c r="B6" s="132"/>
      <c r="C6" s="132"/>
      <c r="D6" s="132"/>
      <c r="E6" s="132"/>
      <c r="F6" s="135" t="str">
        <f>'Stavební rozpočet'!D6</f>
        <v>k.ú. Hostín u Vojkovic, č.parc.st.177/1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6" t="s">
        <v>545</v>
      </c>
      <c r="AK6" s="132"/>
      <c r="AL6" s="132"/>
      <c r="AM6" s="132"/>
      <c r="AN6" s="132"/>
      <c r="AO6" s="132"/>
      <c r="AP6" s="132"/>
      <c r="AQ6" s="135" t="str">
        <f>'Stavební rozpočet'!G6</f>
        <v> </v>
      </c>
      <c r="AR6" s="132"/>
      <c r="AS6" s="132"/>
      <c r="AT6" s="132"/>
      <c r="AU6" s="132"/>
      <c r="AV6" s="132"/>
      <c r="AW6" s="135" t="s">
        <v>549</v>
      </c>
      <c r="AX6" s="132"/>
      <c r="AY6" s="132"/>
      <c r="AZ6" s="132"/>
      <c r="BA6" s="132"/>
      <c r="BB6" s="132"/>
      <c r="BC6" s="132"/>
      <c r="BD6" s="140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2"/>
      <c r="BV6" s="8"/>
    </row>
    <row r="7" spans="1:74" ht="12.75">
      <c r="A7" s="139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2"/>
      <c r="BV7" s="8"/>
    </row>
    <row r="8" spans="1:74" ht="12.75">
      <c r="A8" s="131" t="s">
        <v>4</v>
      </c>
      <c r="B8" s="132"/>
      <c r="C8" s="132"/>
      <c r="D8" s="132"/>
      <c r="E8" s="132"/>
      <c r="F8" s="135" t="str">
        <f>'Stavební rozpočet'!D8</f>
        <v> 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6" t="s">
        <v>546</v>
      </c>
      <c r="AK8" s="132"/>
      <c r="AL8" s="132"/>
      <c r="AM8" s="132"/>
      <c r="AN8" s="132"/>
      <c r="AO8" s="132"/>
      <c r="AP8" s="132"/>
      <c r="AQ8" s="135" t="str">
        <f>'Stavební rozpočet'!G8</f>
        <v>30.06.2018</v>
      </c>
      <c r="AR8" s="132"/>
      <c r="AS8" s="132"/>
      <c r="AT8" s="132"/>
      <c r="AU8" s="132"/>
      <c r="AV8" s="132"/>
      <c r="AW8" s="135" t="s">
        <v>550</v>
      </c>
      <c r="AX8" s="132"/>
      <c r="AY8" s="132"/>
      <c r="AZ8" s="132"/>
      <c r="BA8" s="132"/>
      <c r="BB8" s="132"/>
      <c r="BC8" s="132"/>
      <c r="BD8" s="135" t="str">
        <f>'Stavební rozpočet'!J8</f>
        <v>PMM projekt s.r.o.,</v>
      </c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7"/>
      <c r="BV8" s="8"/>
    </row>
    <row r="9" spans="1:74" ht="12.75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8"/>
      <c r="BV9" s="8"/>
    </row>
    <row r="10" spans="1:74" ht="12.75">
      <c r="A10" s="121" t="s">
        <v>5</v>
      </c>
      <c r="B10" s="123"/>
      <c r="C10" s="121" t="s">
        <v>171</v>
      </c>
      <c r="D10" s="122"/>
      <c r="E10" s="123"/>
      <c r="F10" s="121" t="s">
        <v>177</v>
      </c>
      <c r="G10" s="122"/>
      <c r="H10" s="122"/>
      <c r="I10" s="122"/>
      <c r="J10" s="122"/>
      <c r="K10" s="123"/>
      <c r="L10" s="121" t="s">
        <v>348</v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3"/>
      <c r="AY10" s="121" t="s">
        <v>551</v>
      </c>
      <c r="AZ10" s="123"/>
      <c r="BA10" s="121" t="s">
        <v>561</v>
      </c>
      <c r="BB10" s="122"/>
      <c r="BC10" s="122"/>
      <c r="BD10" s="122"/>
      <c r="BE10" s="123"/>
      <c r="BF10" s="121" t="s">
        <v>562</v>
      </c>
      <c r="BG10" s="122"/>
      <c r="BH10" s="122"/>
      <c r="BI10" s="122"/>
      <c r="BJ10" s="122"/>
      <c r="BK10" s="122"/>
      <c r="BL10" s="122"/>
      <c r="BM10" s="123"/>
      <c r="BN10" s="121" t="s">
        <v>564</v>
      </c>
      <c r="BO10" s="122"/>
      <c r="BP10" s="122"/>
      <c r="BQ10" s="122"/>
      <c r="BR10" s="122"/>
      <c r="BS10" s="122"/>
      <c r="BT10" s="122"/>
      <c r="BU10" s="124"/>
      <c r="BV10" s="8"/>
    </row>
    <row r="11" spans="1:73" ht="12.75">
      <c r="A11" s="125" t="s">
        <v>6</v>
      </c>
      <c r="B11" s="126"/>
      <c r="C11" s="125" t="s">
        <v>6</v>
      </c>
      <c r="D11" s="126"/>
      <c r="E11" s="126"/>
      <c r="F11" s="127" t="s">
        <v>714</v>
      </c>
      <c r="G11" s="126"/>
      <c r="H11" s="126"/>
      <c r="I11" s="126"/>
      <c r="J11" s="126"/>
      <c r="K11" s="126"/>
      <c r="L11" s="125" t="s">
        <v>349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5" t="s">
        <v>6</v>
      </c>
      <c r="AZ11" s="126"/>
      <c r="BA11" s="128" t="s">
        <v>6</v>
      </c>
      <c r="BB11" s="129"/>
      <c r="BC11" s="129"/>
      <c r="BD11" s="129"/>
      <c r="BE11" s="129"/>
      <c r="BF11" s="128" t="s">
        <v>6</v>
      </c>
      <c r="BG11" s="129"/>
      <c r="BH11" s="129"/>
      <c r="BI11" s="129"/>
      <c r="BJ11" s="129"/>
      <c r="BK11" s="129"/>
      <c r="BL11" s="129"/>
      <c r="BM11" s="129"/>
      <c r="BN11" s="130">
        <f>BN12+BN15+BN20+BN22+BN37+BN39+BN44+BN46+BN49+BN53+BN55+BN63+BN72+BN78+BN81+BN86+BN90+BN93+BN96+BN101+BN106+BN108+BN110+BN112</f>
        <v>0</v>
      </c>
      <c r="BO11" s="129"/>
      <c r="BP11" s="129"/>
      <c r="BQ11" s="129"/>
      <c r="BR11" s="129"/>
      <c r="BS11" s="129"/>
      <c r="BT11" s="129"/>
      <c r="BU11" s="129"/>
    </row>
    <row r="12" spans="1:73" ht="12.75">
      <c r="A12" s="102" t="s">
        <v>6</v>
      </c>
      <c r="B12" s="103"/>
      <c r="C12" s="102" t="s">
        <v>6</v>
      </c>
      <c r="D12" s="103"/>
      <c r="E12" s="103"/>
      <c r="F12" s="102" t="s">
        <v>19</v>
      </c>
      <c r="G12" s="103"/>
      <c r="H12" s="103"/>
      <c r="I12" s="103"/>
      <c r="J12" s="103"/>
      <c r="K12" s="103"/>
      <c r="L12" s="102" t="s">
        <v>350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2" t="s">
        <v>6</v>
      </c>
      <c r="AZ12" s="103"/>
      <c r="BA12" s="104" t="s">
        <v>6</v>
      </c>
      <c r="BB12" s="105"/>
      <c r="BC12" s="105"/>
      <c r="BD12" s="105"/>
      <c r="BE12" s="105"/>
      <c r="BF12" s="106" t="s">
        <v>6</v>
      </c>
      <c r="BG12" s="105"/>
      <c r="BH12" s="105"/>
      <c r="BI12" s="105"/>
      <c r="BJ12" s="105"/>
      <c r="BK12" s="105"/>
      <c r="BL12" s="105"/>
      <c r="BM12" s="105"/>
      <c r="BN12" s="111">
        <f>SUM(BN13:BN14)</f>
        <v>0</v>
      </c>
      <c r="BO12" s="105"/>
      <c r="BP12" s="105"/>
      <c r="BQ12" s="105"/>
      <c r="BR12" s="105"/>
      <c r="BS12" s="105"/>
      <c r="BT12" s="105"/>
      <c r="BU12" s="105"/>
    </row>
    <row r="13" spans="1:253" ht="12.75">
      <c r="A13" s="109" t="s">
        <v>7</v>
      </c>
      <c r="B13" s="110"/>
      <c r="C13" s="109" t="s">
        <v>172</v>
      </c>
      <c r="D13" s="110"/>
      <c r="E13" s="110"/>
      <c r="F13" s="109" t="s">
        <v>178</v>
      </c>
      <c r="G13" s="110"/>
      <c r="H13" s="110"/>
      <c r="I13" s="110"/>
      <c r="J13" s="110"/>
      <c r="K13" s="110"/>
      <c r="L13" s="109" t="s">
        <v>351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09" t="s">
        <v>552</v>
      </c>
      <c r="AZ13" s="110"/>
      <c r="BA13" s="89">
        <v>13.56</v>
      </c>
      <c r="BB13" s="90"/>
      <c r="BC13" s="90"/>
      <c r="BD13" s="90"/>
      <c r="BE13" s="90"/>
      <c r="BF13" s="94"/>
      <c r="BG13" s="88"/>
      <c r="BH13" s="88"/>
      <c r="BI13" s="88"/>
      <c r="BJ13" s="88"/>
      <c r="BK13" s="88"/>
      <c r="BL13" s="88"/>
      <c r="BM13" s="88"/>
      <c r="BN13" s="89">
        <f>IR13*BA13+IS13*BA13</f>
        <v>0</v>
      </c>
      <c r="BO13" s="90"/>
      <c r="BP13" s="90"/>
      <c r="BQ13" s="90"/>
      <c r="BR13" s="90"/>
      <c r="BS13" s="90"/>
      <c r="BT13" s="90"/>
      <c r="BU13" s="90"/>
      <c r="IR13" s="10">
        <f>BF13*0</f>
        <v>0</v>
      </c>
      <c r="IS13" s="10">
        <f>BF13*(1-0)</f>
        <v>0</v>
      </c>
    </row>
    <row r="14" spans="1:253" ht="12.75">
      <c r="A14" s="109" t="s">
        <v>8</v>
      </c>
      <c r="B14" s="110"/>
      <c r="C14" s="109" t="s">
        <v>172</v>
      </c>
      <c r="D14" s="110"/>
      <c r="E14" s="110"/>
      <c r="F14" s="109" t="s">
        <v>179</v>
      </c>
      <c r="G14" s="110"/>
      <c r="H14" s="110"/>
      <c r="I14" s="110"/>
      <c r="J14" s="110"/>
      <c r="K14" s="110"/>
      <c r="L14" s="109" t="s">
        <v>352</v>
      </c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09" t="s">
        <v>552</v>
      </c>
      <c r="AZ14" s="110"/>
      <c r="BA14" s="89">
        <v>132.7</v>
      </c>
      <c r="BB14" s="90"/>
      <c r="BC14" s="90"/>
      <c r="BD14" s="90"/>
      <c r="BE14" s="90"/>
      <c r="BF14" s="94"/>
      <c r="BG14" s="88"/>
      <c r="BH14" s="88"/>
      <c r="BI14" s="88"/>
      <c r="BJ14" s="88"/>
      <c r="BK14" s="88"/>
      <c r="BL14" s="88"/>
      <c r="BM14" s="88"/>
      <c r="BN14" s="89">
        <f>IR14*BA14+IS14*BA14</f>
        <v>0</v>
      </c>
      <c r="BO14" s="90"/>
      <c r="BP14" s="90"/>
      <c r="BQ14" s="90"/>
      <c r="BR14" s="90"/>
      <c r="BS14" s="90"/>
      <c r="BT14" s="90"/>
      <c r="BU14" s="90"/>
      <c r="IR14" s="10">
        <f>BF14*0</f>
        <v>0</v>
      </c>
      <c r="IS14" s="10">
        <f>BF14*(1-0)</f>
        <v>0</v>
      </c>
    </row>
    <row r="15" spans="1:73" ht="12.75">
      <c r="A15" s="102" t="s">
        <v>6</v>
      </c>
      <c r="B15" s="103"/>
      <c r="C15" s="102" t="s">
        <v>6</v>
      </c>
      <c r="D15" s="103"/>
      <c r="E15" s="103"/>
      <c r="F15" s="102" t="s">
        <v>22</v>
      </c>
      <c r="G15" s="103"/>
      <c r="H15" s="103"/>
      <c r="I15" s="103"/>
      <c r="J15" s="103"/>
      <c r="K15" s="103"/>
      <c r="L15" s="102" t="s">
        <v>353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2" t="s">
        <v>6</v>
      </c>
      <c r="AZ15" s="103"/>
      <c r="BA15" s="104" t="s">
        <v>6</v>
      </c>
      <c r="BB15" s="105"/>
      <c r="BC15" s="105"/>
      <c r="BD15" s="105"/>
      <c r="BE15" s="105"/>
      <c r="BF15" s="106" t="s">
        <v>6</v>
      </c>
      <c r="BG15" s="105"/>
      <c r="BH15" s="105"/>
      <c r="BI15" s="105"/>
      <c r="BJ15" s="105"/>
      <c r="BK15" s="105"/>
      <c r="BL15" s="105"/>
      <c r="BM15" s="105"/>
      <c r="BN15" s="111">
        <f>SUM(BN16:BN19)</f>
        <v>0</v>
      </c>
      <c r="BO15" s="105"/>
      <c r="BP15" s="105"/>
      <c r="BQ15" s="105"/>
      <c r="BR15" s="105"/>
      <c r="BS15" s="105"/>
      <c r="BT15" s="105"/>
      <c r="BU15" s="105"/>
    </row>
    <row r="16" spans="1:253" ht="12.75">
      <c r="A16" s="109" t="s">
        <v>9</v>
      </c>
      <c r="B16" s="110"/>
      <c r="C16" s="109" t="s">
        <v>172</v>
      </c>
      <c r="D16" s="110"/>
      <c r="E16" s="110"/>
      <c r="F16" s="109" t="s">
        <v>180</v>
      </c>
      <c r="G16" s="110"/>
      <c r="H16" s="110"/>
      <c r="I16" s="110"/>
      <c r="J16" s="110"/>
      <c r="K16" s="110"/>
      <c r="L16" s="109" t="s">
        <v>354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09" t="s">
        <v>552</v>
      </c>
      <c r="AZ16" s="110"/>
      <c r="BA16" s="89">
        <v>146.26</v>
      </c>
      <c r="BB16" s="90"/>
      <c r="BC16" s="90"/>
      <c r="BD16" s="90"/>
      <c r="BE16" s="90"/>
      <c r="BF16" s="94"/>
      <c r="BG16" s="88"/>
      <c r="BH16" s="88"/>
      <c r="BI16" s="88"/>
      <c r="BJ16" s="88"/>
      <c r="BK16" s="88"/>
      <c r="BL16" s="88"/>
      <c r="BM16" s="88"/>
      <c r="BN16" s="89">
        <f>IR16*BA16+IS16*BA16</f>
        <v>0</v>
      </c>
      <c r="BO16" s="90"/>
      <c r="BP16" s="90"/>
      <c r="BQ16" s="90"/>
      <c r="BR16" s="90"/>
      <c r="BS16" s="90"/>
      <c r="BT16" s="90"/>
      <c r="BU16" s="90"/>
      <c r="IR16" s="10">
        <f>BF16*0</f>
        <v>0</v>
      </c>
      <c r="IS16" s="10">
        <f>BF16*(1-0)</f>
        <v>0</v>
      </c>
    </row>
    <row r="17" spans="1:253" ht="12.75">
      <c r="A17" s="109" t="s">
        <v>10</v>
      </c>
      <c r="B17" s="110"/>
      <c r="C17" s="109" t="s">
        <v>172</v>
      </c>
      <c r="D17" s="110"/>
      <c r="E17" s="110"/>
      <c r="F17" s="109" t="s">
        <v>181</v>
      </c>
      <c r="G17" s="110"/>
      <c r="H17" s="110"/>
      <c r="I17" s="110"/>
      <c r="J17" s="110"/>
      <c r="K17" s="110"/>
      <c r="L17" s="109" t="s">
        <v>355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09" t="s">
        <v>552</v>
      </c>
      <c r="AZ17" s="110"/>
      <c r="BA17" s="89">
        <v>146.26</v>
      </c>
      <c r="BB17" s="90"/>
      <c r="BC17" s="90"/>
      <c r="BD17" s="90"/>
      <c r="BE17" s="90"/>
      <c r="BF17" s="94"/>
      <c r="BG17" s="88"/>
      <c r="BH17" s="88"/>
      <c r="BI17" s="88"/>
      <c r="BJ17" s="88"/>
      <c r="BK17" s="88"/>
      <c r="BL17" s="88"/>
      <c r="BM17" s="88"/>
      <c r="BN17" s="89">
        <f>IR17*BA17+IS17*BA17</f>
        <v>0</v>
      </c>
      <c r="BO17" s="90"/>
      <c r="BP17" s="90"/>
      <c r="BQ17" s="90"/>
      <c r="BR17" s="90"/>
      <c r="BS17" s="90"/>
      <c r="BT17" s="90"/>
      <c r="BU17" s="90"/>
      <c r="IR17" s="10">
        <f>BF17*0</f>
        <v>0</v>
      </c>
      <c r="IS17" s="10">
        <f>BF17*(1-0)</f>
        <v>0</v>
      </c>
    </row>
    <row r="18" spans="1:253" ht="12.75">
      <c r="A18" s="109" t="s">
        <v>11</v>
      </c>
      <c r="B18" s="110"/>
      <c r="C18" s="109" t="s">
        <v>172</v>
      </c>
      <c r="D18" s="110"/>
      <c r="E18" s="110"/>
      <c r="F18" s="109" t="s">
        <v>182</v>
      </c>
      <c r="G18" s="110"/>
      <c r="H18" s="110"/>
      <c r="I18" s="110"/>
      <c r="J18" s="110"/>
      <c r="K18" s="110"/>
      <c r="L18" s="109" t="s">
        <v>356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09" t="s">
        <v>553</v>
      </c>
      <c r="AZ18" s="110"/>
      <c r="BA18" s="89">
        <v>4724.26</v>
      </c>
      <c r="BB18" s="90"/>
      <c r="BC18" s="90"/>
      <c r="BD18" s="90"/>
      <c r="BE18" s="90"/>
      <c r="BF18" s="94"/>
      <c r="BG18" s="88"/>
      <c r="BH18" s="88"/>
      <c r="BI18" s="88"/>
      <c r="BJ18" s="88"/>
      <c r="BK18" s="88"/>
      <c r="BL18" s="88"/>
      <c r="BM18" s="88"/>
      <c r="BN18" s="89">
        <f>IR18*BA18+IS18*BA18</f>
        <v>0</v>
      </c>
      <c r="BO18" s="90"/>
      <c r="BP18" s="90"/>
      <c r="BQ18" s="90"/>
      <c r="BR18" s="90"/>
      <c r="BS18" s="90"/>
      <c r="BT18" s="90"/>
      <c r="BU18" s="90"/>
      <c r="IR18" s="10">
        <f>BF18*0</f>
        <v>0</v>
      </c>
      <c r="IS18" s="10">
        <f>BF18*(1-0)</f>
        <v>0</v>
      </c>
    </row>
    <row r="19" spans="1:253" ht="12.75">
      <c r="A19" s="109" t="s">
        <v>12</v>
      </c>
      <c r="B19" s="110"/>
      <c r="C19" s="109" t="s">
        <v>172</v>
      </c>
      <c r="D19" s="110"/>
      <c r="E19" s="110"/>
      <c r="F19" s="109" t="s">
        <v>183</v>
      </c>
      <c r="G19" s="110"/>
      <c r="H19" s="110"/>
      <c r="I19" s="110"/>
      <c r="J19" s="110"/>
      <c r="K19" s="110"/>
      <c r="L19" s="109" t="s">
        <v>357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09" t="s">
        <v>553</v>
      </c>
      <c r="AZ19" s="110"/>
      <c r="BA19" s="89">
        <v>248.65</v>
      </c>
      <c r="BB19" s="90"/>
      <c r="BC19" s="90"/>
      <c r="BD19" s="90"/>
      <c r="BE19" s="90"/>
      <c r="BF19" s="94"/>
      <c r="BG19" s="88"/>
      <c r="BH19" s="88"/>
      <c r="BI19" s="88"/>
      <c r="BJ19" s="88"/>
      <c r="BK19" s="88"/>
      <c r="BL19" s="88"/>
      <c r="BM19" s="88"/>
      <c r="BN19" s="89">
        <f>IR19*BA19+IS19*BA19</f>
        <v>0</v>
      </c>
      <c r="BO19" s="90"/>
      <c r="BP19" s="90"/>
      <c r="BQ19" s="90"/>
      <c r="BR19" s="90"/>
      <c r="BS19" s="90"/>
      <c r="BT19" s="90"/>
      <c r="BU19" s="90"/>
      <c r="IR19" s="10">
        <f>BF19*0</f>
        <v>0</v>
      </c>
      <c r="IS19" s="10">
        <f>BF19*(1-0)</f>
        <v>0</v>
      </c>
    </row>
    <row r="20" spans="1:73" ht="12.75">
      <c r="A20" s="102" t="s">
        <v>6</v>
      </c>
      <c r="B20" s="103"/>
      <c r="C20" s="102" t="s">
        <v>6</v>
      </c>
      <c r="D20" s="103"/>
      <c r="E20" s="103"/>
      <c r="F20" s="102" t="s">
        <v>25</v>
      </c>
      <c r="G20" s="103"/>
      <c r="H20" s="103"/>
      <c r="I20" s="103"/>
      <c r="J20" s="103"/>
      <c r="K20" s="103"/>
      <c r="L20" s="102" t="s">
        <v>358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2" t="s">
        <v>6</v>
      </c>
      <c r="AZ20" s="103"/>
      <c r="BA20" s="104" t="s">
        <v>6</v>
      </c>
      <c r="BB20" s="105"/>
      <c r="BC20" s="105"/>
      <c r="BD20" s="105"/>
      <c r="BE20" s="105"/>
      <c r="BF20" s="106" t="s">
        <v>6</v>
      </c>
      <c r="BG20" s="105"/>
      <c r="BH20" s="105"/>
      <c r="BI20" s="105"/>
      <c r="BJ20" s="105"/>
      <c r="BK20" s="105"/>
      <c r="BL20" s="105"/>
      <c r="BM20" s="105"/>
      <c r="BN20" s="111">
        <f>SUM(BN21:BN21)</f>
        <v>0</v>
      </c>
      <c r="BO20" s="105"/>
      <c r="BP20" s="105"/>
      <c r="BQ20" s="105"/>
      <c r="BR20" s="105"/>
      <c r="BS20" s="105"/>
      <c r="BT20" s="105"/>
      <c r="BU20" s="105"/>
    </row>
    <row r="21" spans="1:253" ht="12.75">
      <c r="A21" s="109" t="s">
        <v>13</v>
      </c>
      <c r="B21" s="110"/>
      <c r="C21" s="109" t="s">
        <v>172</v>
      </c>
      <c r="D21" s="110"/>
      <c r="E21" s="110"/>
      <c r="F21" s="109" t="s">
        <v>184</v>
      </c>
      <c r="G21" s="110"/>
      <c r="H21" s="110"/>
      <c r="I21" s="110"/>
      <c r="J21" s="110"/>
      <c r="K21" s="110"/>
      <c r="L21" s="109" t="s">
        <v>359</v>
      </c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09" t="s">
        <v>553</v>
      </c>
      <c r="AZ21" s="110"/>
      <c r="BA21" s="89">
        <v>248.65</v>
      </c>
      <c r="BB21" s="90"/>
      <c r="BC21" s="90"/>
      <c r="BD21" s="90"/>
      <c r="BE21" s="90"/>
      <c r="BF21" s="94"/>
      <c r="BG21" s="88"/>
      <c r="BH21" s="88"/>
      <c r="BI21" s="88"/>
      <c r="BJ21" s="88"/>
      <c r="BK21" s="88"/>
      <c r="BL21" s="88"/>
      <c r="BM21" s="88"/>
      <c r="BN21" s="89">
        <f>IR21*BA21+IS21*BA21</f>
        <v>0</v>
      </c>
      <c r="BO21" s="90"/>
      <c r="BP21" s="90"/>
      <c r="BQ21" s="90"/>
      <c r="BR21" s="90"/>
      <c r="BS21" s="90"/>
      <c r="BT21" s="90"/>
      <c r="BU21" s="90"/>
      <c r="IR21" s="10">
        <f>BF21*0</f>
        <v>0</v>
      </c>
      <c r="IS21" s="10">
        <f>BF21*(1-0)</f>
        <v>0</v>
      </c>
    </row>
    <row r="22" spans="1:73" ht="12.75">
      <c r="A22" s="102" t="s">
        <v>6</v>
      </c>
      <c r="B22" s="103"/>
      <c r="C22" s="102" t="s">
        <v>6</v>
      </c>
      <c r="D22" s="103"/>
      <c r="E22" s="103"/>
      <c r="F22" s="102" t="s">
        <v>33</v>
      </c>
      <c r="G22" s="103"/>
      <c r="H22" s="103"/>
      <c r="I22" s="103"/>
      <c r="J22" s="103"/>
      <c r="K22" s="103"/>
      <c r="L22" s="102" t="s">
        <v>360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2" t="s">
        <v>6</v>
      </c>
      <c r="AZ22" s="103"/>
      <c r="BA22" s="104" t="s">
        <v>6</v>
      </c>
      <c r="BB22" s="105"/>
      <c r="BC22" s="105"/>
      <c r="BD22" s="105"/>
      <c r="BE22" s="105"/>
      <c r="BF22" s="106" t="s">
        <v>6</v>
      </c>
      <c r="BG22" s="105"/>
      <c r="BH22" s="105"/>
      <c r="BI22" s="105"/>
      <c r="BJ22" s="105"/>
      <c r="BK22" s="105"/>
      <c r="BL22" s="105"/>
      <c r="BM22" s="105"/>
      <c r="BN22" s="111">
        <f>SUM(BN23:BN36)</f>
        <v>0</v>
      </c>
      <c r="BO22" s="105"/>
      <c r="BP22" s="105"/>
      <c r="BQ22" s="105"/>
      <c r="BR22" s="105"/>
      <c r="BS22" s="105"/>
      <c r="BT22" s="105"/>
      <c r="BU22" s="105"/>
    </row>
    <row r="23" spans="1:253" ht="12.75">
      <c r="A23" s="109" t="s">
        <v>14</v>
      </c>
      <c r="B23" s="110"/>
      <c r="C23" s="109" t="s">
        <v>172</v>
      </c>
      <c r="D23" s="110"/>
      <c r="E23" s="110"/>
      <c r="F23" s="109" t="s">
        <v>185</v>
      </c>
      <c r="G23" s="110"/>
      <c r="H23" s="110"/>
      <c r="I23" s="110"/>
      <c r="J23" s="110"/>
      <c r="K23" s="110"/>
      <c r="L23" s="109" t="s">
        <v>361</v>
      </c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09" t="s">
        <v>552</v>
      </c>
      <c r="AZ23" s="110"/>
      <c r="BA23" s="89">
        <v>82.3</v>
      </c>
      <c r="BB23" s="90"/>
      <c r="BC23" s="90"/>
      <c r="BD23" s="90"/>
      <c r="BE23" s="90"/>
      <c r="BF23" s="94"/>
      <c r="BG23" s="88"/>
      <c r="BH23" s="88"/>
      <c r="BI23" s="88"/>
      <c r="BJ23" s="88"/>
      <c r="BK23" s="88"/>
      <c r="BL23" s="88"/>
      <c r="BM23" s="88"/>
      <c r="BN23" s="89">
        <f aca="true" t="shared" si="0" ref="BN23:BN36">IR23*BA23+IS23*BA23</f>
        <v>0</v>
      </c>
      <c r="BO23" s="90"/>
      <c r="BP23" s="90"/>
      <c r="BQ23" s="90"/>
      <c r="BR23" s="90"/>
      <c r="BS23" s="90"/>
      <c r="BT23" s="90"/>
      <c r="BU23" s="90"/>
      <c r="IR23" s="10">
        <f>BF23*0.592177777777778</f>
        <v>0</v>
      </c>
      <c r="IS23" s="10">
        <f>BF23*(1-0.592177777777778)</f>
        <v>0</v>
      </c>
    </row>
    <row r="24" spans="1:253" ht="12.75">
      <c r="A24" s="109" t="s">
        <v>15</v>
      </c>
      <c r="B24" s="110"/>
      <c r="C24" s="109" t="s">
        <v>172</v>
      </c>
      <c r="D24" s="110"/>
      <c r="E24" s="110"/>
      <c r="F24" s="109" t="s">
        <v>186</v>
      </c>
      <c r="G24" s="110"/>
      <c r="H24" s="110"/>
      <c r="I24" s="110"/>
      <c r="J24" s="110"/>
      <c r="K24" s="110"/>
      <c r="L24" s="109" t="s">
        <v>362</v>
      </c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09" t="s">
        <v>554</v>
      </c>
      <c r="AZ24" s="110"/>
      <c r="BA24" s="89">
        <v>38.18</v>
      </c>
      <c r="BB24" s="90"/>
      <c r="BC24" s="90"/>
      <c r="BD24" s="90"/>
      <c r="BE24" s="90"/>
      <c r="BF24" s="94"/>
      <c r="BG24" s="88"/>
      <c r="BH24" s="88"/>
      <c r="BI24" s="88"/>
      <c r="BJ24" s="88"/>
      <c r="BK24" s="88"/>
      <c r="BL24" s="88"/>
      <c r="BM24" s="88"/>
      <c r="BN24" s="89">
        <f t="shared" si="0"/>
        <v>0</v>
      </c>
      <c r="BO24" s="90"/>
      <c r="BP24" s="90"/>
      <c r="BQ24" s="90"/>
      <c r="BR24" s="90"/>
      <c r="BS24" s="90"/>
      <c r="BT24" s="90"/>
      <c r="BU24" s="90"/>
      <c r="IR24" s="10">
        <f>BF24*0.232867435158501</f>
        <v>0</v>
      </c>
      <c r="IS24" s="10">
        <f>BF24*(1-0.232867435158501)</f>
        <v>0</v>
      </c>
    </row>
    <row r="25" spans="1:253" ht="12.75">
      <c r="A25" s="109" t="s">
        <v>16</v>
      </c>
      <c r="B25" s="110"/>
      <c r="C25" s="109" t="s">
        <v>172</v>
      </c>
      <c r="D25" s="110"/>
      <c r="E25" s="110"/>
      <c r="F25" s="109" t="s">
        <v>187</v>
      </c>
      <c r="G25" s="110"/>
      <c r="H25" s="110"/>
      <c r="I25" s="110"/>
      <c r="J25" s="110"/>
      <c r="K25" s="110"/>
      <c r="L25" s="109" t="s">
        <v>363</v>
      </c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09" t="s">
        <v>554</v>
      </c>
      <c r="AZ25" s="110"/>
      <c r="BA25" s="89">
        <v>38.18</v>
      </c>
      <c r="BB25" s="90"/>
      <c r="BC25" s="90"/>
      <c r="BD25" s="90"/>
      <c r="BE25" s="90"/>
      <c r="BF25" s="94"/>
      <c r="BG25" s="88"/>
      <c r="BH25" s="88"/>
      <c r="BI25" s="88"/>
      <c r="BJ25" s="88"/>
      <c r="BK25" s="88"/>
      <c r="BL25" s="88"/>
      <c r="BM25" s="88"/>
      <c r="BN25" s="89">
        <f t="shared" si="0"/>
        <v>0</v>
      </c>
      <c r="BO25" s="90"/>
      <c r="BP25" s="90"/>
      <c r="BQ25" s="90"/>
      <c r="BR25" s="90"/>
      <c r="BS25" s="90"/>
      <c r="BT25" s="90"/>
      <c r="BU25" s="90"/>
      <c r="IR25" s="10">
        <f>BF25*0</f>
        <v>0</v>
      </c>
      <c r="IS25" s="10">
        <f>BF25*(1-0)</f>
        <v>0</v>
      </c>
    </row>
    <row r="26" spans="1:253" ht="12.75">
      <c r="A26" s="109" t="s">
        <v>17</v>
      </c>
      <c r="B26" s="110"/>
      <c r="C26" s="109" t="s">
        <v>172</v>
      </c>
      <c r="D26" s="110"/>
      <c r="E26" s="110"/>
      <c r="F26" s="109" t="s">
        <v>188</v>
      </c>
      <c r="G26" s="110"/>
      <c r="H26" s="110"/>
      <c r="I26" s="110"/>
      <c r="J26" s="110"/>
      <c r="K26" s="110"/>
      <c r="L26" s="109" t="s">
        <v>364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09" t="s">
        <v>553</v>
      </c>
      <c r="AZ26" s="110"/>
      <c r="BA26" s="89">
        <v>2.24</v>
      </c>
      <c r="BB26" s="90"/>
      <c r="BC26" s="90"/>
      <c r="BD26" s="90"/>
      <c r="BE26" s="90"/>
      <c r="BF26" s="94"/>
      <c r="BG26" s="88"/>
      <c r="BH26" s="88"/>
      <c r="BI26" s="88"/>
      <c r="BJ26" s="88"/>
      <c r="BK26" s="88"/>
      <c r="BL26" s="88"/>
      <c r="BM26" s="88"/>
      <c r="BN26" s="89">
        <f t="shared" si="0"/>
        <v>0</v>
      </c>
      <c r="BO26" s="90"/>
      <c r="BP26" s="90"/>
      <c r="BQ26" s="90"/>
      <c r="BR26" s="90"/>
      <c r="BS26" s="90"/>
      <c r="BT26" s="90"/>
      <c r="BU26" s="90"/>
      <c r="IR26" s="10">
        <f>BF26*0.810011930926217</f>
        <v>0</v>
      </c>
      <c r="IS26" s="10">
        <f>BF26*(1-0.810011930926217)</f>
        <v>0</v>
      </c>
    </row>
    <row r="27" spans="1:253" ht="12.75">
      <c r="A27" s="109" t="s">
        <v>18</v>
      </c>
      <c r="B27" s="110"/>
      <c r="C27" s="109" t="s">
        <v>172</v>
      </c>
      <c r="D27" s="110"/>
      <c r="E27" s="110"/>
      <c r="F27" s="109" t="s">
        <v>189</v>
      </c>
      <c r="G27" s="110"/>
      <c r="H27" s="110"/>
      <c r="I27" s="110"/>
      <c r="J27" s="110"/>
      <c r="K27" s="110"/>
      <c r="L27" s="109" t="s">
        <v>365</v>
      </c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09" t="s">
        <v>554</v>
      </c>
      <c r="AZ27" s="110"/>
      <c r="BA27" s="89">
        <v>78</v>
      </c>
      <c r="BB27" s="90"/>
      <c r="BC27" s="90"/>
      <c r="BD27" s="90"/>
      <c r="BE27" s="90"/>
      <c r="BF27" s="94"/>
      <c r="BG27" s="88"/>
      <c r="BH27" s="88"/>
      <c r="BI27" s="88"/>
      <c r="BJ27" s="88"/>
      <c r="BK27" s="88"/>
      <c r="BL27" s="88"/>
      <c r="BM27" s="88"/>
      <c r="BN27" s="89">
        <f t="shared" si="0"/>
        <v>0</v>
      </c>
      <c r="BO27" s="90"/>
      <c r="BP27" s="90"/>
      <c r="BQ27" s="90"/>
      <c r="BR27" s="90"/>
      <c r="BS27" s="90"/>
      <c r="BT27" s="90"/>
      <c r="BU27" s="90"/>
      <c r="IR27" s="10">
        <f>BF27*0.316614051255907</f>
        <v>0</v>
      </c>
      <c r="IS27" s="10">
        <f>BF27*(1-0.316614051255907)</f>
        <v>0</v>
      </c>
    </row>
    <row r="28" spans="1:253" ht="12.75">
      <c r="A28" s="109" t="s">
        <v>19</v>
      </c>
      <c r="B28" s="110"/>
      <c r="C28" s="109" t="s">
        <v>172</v>
      </c>
      <c r="D28" s="110"/>
      <c r="E28" s="110"/>
      <c r="F28" s="109" t="s">
        <v>190</v>
      </c>
      <c r="G28" s="110"/>
      <c r="H28" s="110"/>
      <c r="I28" s="110"/>
      <c r="J28" s="110"/>
      <c r="K28" s="110"/>
      <c r="L28" s="109" t="s">
        <v>366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09" t="s">
        <v>554</v>
      </c>
      <c r="AZ28" s="110"/>
      <c r="BA28" s="89">
        <v>78</v>
      </c>
      <c r="BB28" s="90"/>
      <c r="BC28" s="90"/>
      <c r="BD28" s="90"/>
      <c r="BE28" s="90"/>
      <c r="BF28" s="94"/>
      <c r="BG28" s="88"/>
      <c r="BH28" s="88"/>
      <c r="BI28" s="88"/>
      <c r="BJ28" s="88"/>
      <c r="BK28" s="88"/>
      <c r="BL28" s="88"/>
      <c r="BM28" s="88"/>
      <c r="BN28" s="89">
        <f t="shared" si="0"/>
        <v>0</v>
      </c>
      <c r="BO28" s="90"/>
      <c r="BP28" s="90"/>
      <c r="BQ28" s="90"/>
      <c r="BR28" s="90"/>
      <c r="BS28" s="90"/>
      <c r="BT28" s="90"/>
      <c r="BU28" s="90"/>
      <c r="IR28" s="10">
        <f>BF28*0</f>
        <v>0</v>
      </c>
      <c r="IS28" s="10">
        <f>BF28*(1-0)</f>
        <v>0</v>
      </c>
    </row>
    <row r="29" spans="1:253" ht="12.75">
      <c r="A29" s="109" t="s">
        <v>20</v>
      </c>
      <c r="B29" s="110"/>
      <c r="C29" s="109" t="s">
        <v>172</v>
      </c>
      <c r="D29" s="110"/>
      <c r="E29" s="110"/>
      <c r="F29" s="109" t="s">
        <v>191</v>
      </c>
      <c r="G29" s="110"/>
      <c r="H29" s="110"/>
      <c r="I29" s="110"/>
      <c r="J29" s="110"/>
      <c r="K29" s="110"/>
      <c r="L29" s="109" t="s">
        <v>367</v>
      </c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09" t="s">
        <v>554</v>
      </c>
      <c r="AZ29" s="110"/>
      <c r="BA29" s="89">
        <v>49.09</v>
      </c>
      <c r="BB29" s="90"/>
      <c r="BC29" s="90"/>
      <c r="BD29" s="90"/>
      <c r="BE29" s="90"/>
      <c r="BF29" s="94"/>
      <c r="BG29" s="88"/>
      <c r="BH29" s="88"/>
      <c r="BI29" s="88"/>
      <c r="BJ29" s="88"/>
      <c r="BK29" s="88"/>
      <c r="BL29" s="88"/>
      <c r="BM29" s="88"/>
      <c r="BN29" s="89">
        <f t="shared" si="0"/>
        <v>0</v>
      </c>
      <c r="BO29" s="90"/>
      <c r="BP29" s="90"/>
      <c r="BQ29" s="90"/>
      <c r="BR29" s="90"/>
      <c r="BS29" s="90"/>
      <c r="BT29" s="90"/>
      <c r="BU29" s="90"/>
      <c r="IR29" s="10">
        <f>BF29*0.300888252710837</f>
        <v>0</v>
      </c>
      <c r="IS29" s="10">
        <f>BF29*(1-0.300888252710837)</f>
        <v>0</v>
      </c>
    </row>
    <row r="30" spans="1:253" ht="12.75">
      <c r="A30" s="109" t="s">
        <v>21</v>
      </c>
      <c r="B30" s="110"/>
      <c r="C30" s="109" t="s">
        <v>172</v>
      </c>
      <c r="D30" s="110"/>
      <c r="E30" s="110"/>
      <c r="F30" s="109" t="s">
        <v>192</v>
      </c>
      <c r="G30" s="110"/>
      <c r="H30" s="110"/>
      <c r="I30" s="110"/>
      <c r="J30" s="110"/>
      <c r="K30" s="110"/>
      <c r="L30" s="109" t="s">
        <v>368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09" t="s">
        <v>554</v>
      </c>
      <c r="AZ30" s="110"/>
      <c r="BA30" s="89">
        <v>49.09</v>
      </c>
      <c r="BB30" s="90"/>
      <c r="BC30" s="90"/>
      <c r="BD30" s="90"/>
      <c r="BE30" s="90"/>
      <c r="BF30" s="94"/>
      <c r="BG30" s="88"/>
      <c r="BH30" s="88"/>
      <c r="BI30" s="88"/>
      <c r="BJ30" s="88"/>
      <c r="BK30" s="88"/>
      <c r="BL30" s="88"/>
      <c r="BM30" s="88"/>
      <c r="BN30" s="89">
        <f t="shared" si="0"/>
        <v>0</v>
      </c>
      <c r="BO30" s="90"/>
      <c r="BP30" s="90"/>
      <c r="BQ30" s="90"/>
      <c r="BR30" s="90"/>
      <c r="BS30" s="90"/>
      <c r="BT30" s="90"/>
      <c r="BU30" s="90"/>
      <c r="IR30" s="10">
        <f>BF30*0</f>
        <v>0</v>
      </c>
      <c r="IS30" s="10">
        <f>BF30*(1-0)</f>
        <v>0</v>
      </c>
    </row>
    <row r="31" spans="1:253" ht="12.75">
      <c r="A31" s="109" t="s">
        <v>22</v>
      </c>
      <c r="B31" s="110"/>
      <c r="C31" s="109" t="s">
        <v>172</v>
      </c>
      <c r="D31" s="110"/>
      <c r="E31" s="110"/>
      <c r="F31" s="109" t="s">
        <v>193</v>
      </c>
      <c r="G31" s="110"/>
      <c r="H31" s="110"/>
      <c r="I31" s="110"/>
      <c r="J31" s="110"/>
      <c r="K31" s="110"/>
      <c r="L31" s="109" t="s">
        <v>369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09" t="s">
        <v>552</v>
      </c>
      <c r="AZ31" s="110"/>
      <c r="BA31" s="89">
        <v>101.03</v>
      </c>
      <c r="BB31" s="90"/>
      <c r="BC31" s="90"/>
      <c r="BD31" s="90"/>
      <c r="BE31" s="90"/>
      <c r="BF31" s="94"/>
      <c r="BG31" s="88"/>
      <c r="BH31" s="88"/>
      <c r="BI31" s="88"/>
      <c r="BJ31" s="88"/>
      <c r="BK31" s="88"/>
      <c r="BL31" s="88"/>
      <c r="BM31" s="88"/>
      <c r="BN31" s="89">
        <f t="shared" si="0"/>
        <v>0</v>
      </c>
      <c r="BO31" s="90"/>
      <c r="BP31" s="90"/>
      <c r="BQ31" s="90"/>
      <c r="BR31" s="90"/>
      <c r="BS31" s="90"/>
      <c r="BT31" s="90"/>
      <c r="BU31" s="90"/>
      <c r="IR31" s="10">
        <f>BF31*0</f>
        <v>0</v>
      </c>
      <c r="IS31" s="10">
        <f>BF31*(1-0)</f>
        <v>0</v>
      </c>
    </row>
    <row r="32" spans="1:253" ht="12.75">
      <c r="A32" s="109" t="s">
        <v>23</v>
      </c>
      <c r="B32" s="110"/>
      <c r="C32" s="109" t="s">
        <v>172</v>
      </c>
      <c r="D32" s="110"/>
      <c r="E32" s="110"/>
      <c r="F32" s="109" t="s">
        <v>194</v>
      </c>
      <c r="G32" s="110"/>
      <c r="H32" s="110"/>
      <c r="I32" s="110"/>
      <c r="J32" s="110"/>
      <c r="K32" s="110"/>
      <c r="L32" s="109" t="s">
        <v>370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09" t="s">
        <v>555</v>
      </c>
      <c r="AZ32" s="110"/>
      <c r="BA32" s="89">
        <v>10</v>
      </c>
      <c r="BB32" s="90"/>
      <c r="BC32" s="90"/>
      <c r="BD32" s="90"/>
      <c r="BE32" s="90"/>
      <c r="BF32" s="94"/>
      <c r="BG32" s="88"/>
      <c r="BH32" s="88"/>
      <c r="BI32" s="88"/>
      <c r="BJ32" s="88"/>
      <c r="BK32" s="88"/>
      <c r="BL32" s="88"/>
      <c r="BM32" s="88"/>
      <c r="BN32" s="89">
        <f t="shared" si="0"/>
        <v>0</v>
      </c>
      <c r="BO32" s="90"/>
      <c r="BP32" s="90"/>
      <c r="BQ32" s="90"/>
      <c r="BR32" s="90"/>
      <c r="BS32" s="90"/>
      <c r="BT32" s="90"/>
      <c r="BU32" s="90"/>
      <c r="IR32" s="10">
        <f>BF32*0</f>
        <v>0</v>
      </c>
      <c r="IS32" s="10">
        <f>BF32*(1-0)</f>
        <v>0</v>
      </c>
    </row>
    <row r="33" spans="1:253" ht="12.75">
      <c r="A33" s="109" t="s">
        <v>24</v>
      </c>
      <c r="B33" s="110"/>
      <c r="C33" s="109" t="s">
        <v>172</v>
      </c>
      <c r="D33" s="110"/>
      <c r="E33" s="110"/>
      <c r="F33" s="109" t="s">
        <v>195</v>
      </c>
      <c r="G33" s="110"/>
      <c r="H33" s="110"/>
      <c r="I33" s="110"/>
      <c r="J33" s="110"/>
      <c r="K33" s="110"/>
      <c r="L33" s="109" t="s">
        <v>371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09" t="s">
        <v>555</v>
      </c>
      <c r="AZ33" s="110"/>
      <c r="BA33" s="89">
        <v>3</v>
      </c>
      <c r="BB33" s="90"/>
      <c r="BC33" s="90"/>
      <c r="BD33" s="90"/>
      <c r="BE33" s="90"/>
      <c r="BF33" s="94"/>
      <c r="BG33" s="88"/>
      <c r="BH33" s="88"/>
      <c r="BI33" s="88"/>
      <c r="BJ33" s="88"/>
      <c r="BK33" s="88"/>
      <c r="BL33" s="88"/>
      <c r="BM33" s="88"/>
      <c r="BN33" s="89">
        <f t="shared" si="0"/>
        <v>0</v>
      </c>
      <c r="BO33" s="90"/>
      <c r="BP33" s="90"/>
      <c r="BQ33" s="90"/>
      <c r="BR33" s="90"/>
      <c r="BS33" s="90"/>
      <c r="BT33" s="90"/>
      <c r="BU33" s="90"/>
      <c r="IR33" s="10">
        <f>BF33*0</f>
        <v>0</v>
      </c>
      <c r="IS33" s="10">
        <f>BF33*(1-0)</f>
        <v>0</v>
      </c>
    </row>
    <row r="34" spans="1:253" ht="12.75">
      <c r="A34" s="109" t="s">
        <v>25</v>
      </c>
      <c r="B34" s="110"/>
      <c r="C34" s="109" t="s">
        <v>172</v>
      </c>
      <c r="D34" s="110"/>
      <c r="E34" s="110"/>
      <c r="F34" s="109" t="s">
        <v>196</v>
      </c>
      <c r="G34" s="110"/>
      <c r="H34" s="110"/>
      <c r="I34" s="110"/>
      <c r="J34" s="110"/>
      <c r="K34" s="110"/>
      <c r="L34" s="109" t="s">
        <v>372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09" t="s">
        <v>552</v>
      </c>
      <c r="AZ34" s="110"/>
      <c r="BA34" s="89">
        <v>101.03</v>
      </c>
      <c r="BB34" s="90"/>
      <c r="BC34" s="90"/>
      <c r="BD34" s="90"/>
      <c r="BE34" s="90"/>
      <c r="BF34" s="94"/>
      <c r="BG34" s="88"/>
      <c r="BH34" s="88"/>
      <c r="BI34" s="88"/>
      <c r="BJ34" s="88"/>
      <c r="BK34" s="88"/>
      <c r="BL34" s="88"/>
      <c r="BM34" s="88"/>
      <c r="BN34" s="89">
        <f t="shared" si="0"/>
        <v>0</v>
      </c>
      <c r="BO34" s="90"/>
      <c r="BP34" s="90"/>
      <c r="BQ34" s="90"/>
      <c r="BR34" s="90"/>
      <c r="BS34" s="90"/>
      <c r="BT34" s="90"/>
      <c r="BU34" s="90"/>
      <c r="IR34" s="10">
        <f>BF34*0.897784989858012</f>
        <v>0</v>
      </c>
      <c r="IS34" s="10">
        <f>BF34*(1-0.897784989858012)</f>
        <v>0</v>
      </c>
    </row>
    <row r="35" spans="1:253" ht="12.75">
      <c r="A35" s="109" t="s">
        <v>26</v>
      </c>
      <c r="B35" s="110"/>
      <c r="C35" s="109" t="s">
        <v>172</v>
      </c>
      <c r="D35" s="110"/>
      <c r="E35" s="110"/>
      <c r="F35" s="109" t="s">
        <v>197</v>
      </c>
      <c r="G35" s="110"/>
      <c r="H35" s="110"/>
      <c r="I35" s="110"/>
      <c r="J35" s="110"/>
      <c r="K35" s="110"/>
      <c r="L35" s="109" t="s">
        <v>373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09" t="s">
        <v>552</v>
      </c>
      <c r="AZ35" s="110"/>
      <c r="BA35" s="89">
        <v>153.75</v>
      </c>
      <c r="BB35" s="90"/>
      <c r="BC35" s="90"/>
      <c r="BD35" s="90"/>
      <c r="BE35" s="90"/>
      <c r="BF35" s="94"/>
      <c r="BG35" s="88"/>
      <c r="BH35" s="88"/>
      <c r="BI35" s="88"/>
      <c r="BJ35" s="88"/>
      <c r="BK35" s="88"/>
      <c r="BL35" s="88"/>
      <c r="BM35" s="88"/>
      <c r="BN35" s="89">
        <f t="shared" si="0"/>
        <v>0</v>
      </c>
      <c r="BO35" s="90"/>
      <c r="BP35" s="90"/>
      <c r="BQ35" s="90"/>
      <c r="BR35" s="90"/>
      <c r="BS35" s="90"/>
      <c r="BT35" s="90"/>
      <c r="BU35" s="90"/>
      <c r="IR35" s="10">
        <f>BF35*0.897784989858012</f>
        <v>0</v>
      </c>
      <c r="IS35" s="10">
        <f>BF35*(1-0.897784989858012)</f>
        <v>0</v>
      </c>
    </row>
    <row r="36" spans="1:253" ht="12.75">
      <c r="A36" s="109" t="s">
        <v>27</v>
      </c>
      <c r="B36" s="110"/>
      <c r="C36" s="109" t="s">
        <v>172</v>
      </c>
      <c r="D36" s="110"/>
      <c r="E36" s="110"/>
      <c r="F36" s="109" t="s">
        <v>198</v>
      </c>
      <c r="G36" s="110"/>
      <c r="H36" s="110"/>
      <c r="I36" s="110"/>
      <c r="J36" s="110"/>
      <c r="K36" s="110"/>
      <c r="L36" s="109" t="s">
        <v>374</v>
      </c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09" t="s">
        <v>552</v>
      </c>
      <c r="AZ36" s="110"/>
      <c r="BA36" s="89">
        <v>15.78</v>
      </c>
      <c r="BB36" s="90"/>
      <c r="BC36" s="90"/>
      <c r="BD36" s="90"/>
      <c r="BE36" s="90"/>
      <c r="BF36" s="94"/>
      <c r="BG36" s="88"/>
      <c r="BH36" s="88"/>
      <c r="BI36" s="88"/>
      <c r="BJ36" s="88"/>
      <c r="BK36" s="88"/>
      <c r="BL36" s="88"/>
      <c r="BM36" s="88"/>
      <c r="BN36" s="89">
        <f t="shared" si="0"/>
        <v>0</v>
      </c>
      <c r="BO36" s="90"/>
      <c r="BP36" s="90"/>
      <c r="BQ36" s="90"/>
      <c r="BR36" s="90"/>
      <c r="BS36" s="90"/>
      <c r="BT36" s="90"/>
      <c r="BU36" s="90"/>
      <c r="IR36" s="10">
        <f>BF36*0.898081549364911</f>
        <v>0</v>
      </c>
      <c r="IS36" s="10">
        <f>BF36*(1-0.898081549364911)</f>
        <v>0</v>
      </c>
    </row>
    <row r="37" spans="1:73" ht="12.75">
      <c r="A37" s="102" t="s">
        <v>6</v>
      </c>
      <c r="B37" s="103"/>
      <c r="C37" s="102" t="s">
        <v>6</v>
      </c>
      <c r="D37" s="103"/>
      <c r="E37" s="103"/>
      <c r="F37" s="102" t="s">
        <v>37</v>
      </c>
      <c r="G37" s="103"/>
      <c r="H37" s="103"/>
      <c r="I37" s="103"/>
      <c r="J37" s="103"/>
      <c r="K37" s="103"/>
      <c r="L37" s="102" t="s">
        <v>375</v>
      </c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2" t="s">
        <v>6</v>
      </c>
      <c r="AZ37" s="103"/>
      <c r="BA37" s="104" t="s">
        <v>6</v>
      </c>
      <c r="BB37" s="105"/>
      <c r="BC37" s="105"/>
      <c r="BD37" s="105"/>
      <c r="BE37" s="105"/>
      <c r="BF37" s="106" t="s">
        <v>6</v>
      </c>
      <c r="BG37" s="105"/>
      <c r="BH37" s="105"/>
      <c r="BI37" s="105"/>
      <c r="BJ37" s="105"/>
      <c r="BK37" s="105"/>
      <c r="BL37" s="105"/>
      <c r="BM37" s="105"/>
      <c r="BN37" s="111">
        <f>SUM(BN38:BN38)</f>
        <v>0</v>
      </c>
      <c r="BO37" s="105"/>
      <c r="BP37" s="105"/>
      <c r="BQ37" s="105"/>
      <c r="BR37" s="105"/>
      <c r="BS37" s="105"/>
      <c r="BT37" s="105"/>
      <c r="BU37" s="105"/>
    </row>
    <row r="38" spans="1:253" ht="12.75">
      <c r="A38" s="109" t="s">
        <v>28</v>
      </c>
      <c r="B38" s="110"/>
      <c r="C38" s="109" t="s">
        <v>172</v>
      </c>
      <c r="D38" s="110"/>
      <c r="E38" s="110"/>
      <c r="F38" s="109" t="s">
        <v>199</v>
      </c>
      <c r="G38" s="110"/>
      <c r="H38" s="110"/>
      <c r="I38" s="110"/>
      <c r="J38" s="110"/>
      <c r="K38" s="110"/>
      <c r="L38" s="109" t="s">
        <v>376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09" t="s">
        <v>554</v>
      </c>
      <c r="AZ38" s="110"/>
      <c r="BA38" s="89">
        <v>37.08</v>
      </c>
      <c r="BB38" s="90"/>
      <c r="BC38" s="90"/>
      <c r="BD38" s="90"/>
      <c r="BE38" s="90"/>
      <c r="BF38" s="94"/>
      <c r="BG38" s="88"/>
      <c r="BH38" s="88"/>
      <c r="BI38" s="88"/>
      <c r="BJ38" s="88"/>
      <c r="BK38" s="88"/>
      <c r="BL38" s="88"/>
      <c r="BM38" s="88"/>
      <c r="BN38" s="89">
        <f>IR38*BA38+IS38*BA38</f>
        <v>0</v>
      </c>
      <c r="BO38" s="90"/>
      <c r="BP38" s="90"/>
      <c r="BQ38" s="90"/>
      <c r="BR38" s="90"/>
      <c r="BS38" s="90"/>
      <c r="BT38" s="90"/>
      <c r="BU38" s="90"/>
      <c r="IR38" s="10">
        <f>BF38*0.637460285312844</f>
        <v>0</v>
      </c>
      <c r="IS38" s="10">
        <f>BF38*(1-0.637460285312844)</f>
        <v>0</v>
      </c>
    </row>
    <row r="39" spans="1:73" ht="12.75">
      <c r="A39" s="102" t="s">
        <v>6</v>
      </c>
      <c r="B39" s="103"/>
      <c r="C39" s="102" t="s">
        <v>6</v>
      </c>
      <c r="D39" s="103"/>
      <c r="E39" s="103"/>
      <c r="F39" s="102" t="s">
        <v>40</v>
      </c>
      <c r="G39" s="103"/>
      <c r="H39" s="103"/>
      <c r="I39" s="103"/>
      <c r="J39" s="103"/>
      <c r="K39" s="103"/>
      <c r="L39" s="102" t="s">
        <v>377</v>
      </c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2" t="s">
        <v>6</v>
      </c>
      <c r="AZ39" s="103"/>
      <c r="BA39" s="104" t="s">
        <v>6</v>
      </c>
      <c r="BB39" s="105"/>
      <c r="BC39" s="105"/>
      <c r="BD39" s="105"/>
      <c r="BE39" s="105"/>
      <c r="BF39" s="106" t="s">
        <v>6</v>
      </c>
      <c r="BG39" s="105"/>
      <c r="BH39" s="105"/>
      <c r="BI39" s="105"/>
      <c r="BJ39" s="105"/>
      <c r="BK39" s="105"/>
      <c r="BL39" s="105"/>
      <c r="BM39" s="105"/>
      <c r="BN39" s="111">
        <f>SUM(BN40:BN43)</f>
        <v>0</v>
      </c>
      <c r="BO39" s="105"/>
      <c r="BP39" s="105"/>
      <c r="BQ39" s="105"/>
      <c r="BR39" s="105"/>
      <c r="BS39" s="105"/>
      <c r="BT39" s="105"/>
      <c r="BU39" s="105"/>
    </row>
    <row r="40" spans="1:253" ht="12.75">
      <c r="A40" s="109" t="s">
        <v>29</v>
      </c>
      <c r="B40" s="110"/>
      <c r="C40" s="109" t="s">
        <v>172</v>
      </c>
      <c r="D40" s="110"/>
      <c r="E40" s="110"/>
      <c r="F40" s="109" t="s">
        <v>200</v>
      </c>
      <c r="G40" s="110"/>
      <c r="H40" s="110"/>
      <c r="I40" s="110"/>
      <c r="J40" s="110"/>
      <c r="K40" s="110"/>
      <c r="L40" s="109" t="s">
        <v>378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 t="s">
        <v>556</v>
      </c>
      <c r="AZ40" s="110"/>
      <c r="BA40" s="89">
        <v>415.4</v>
      </c>
      <c r="BB40" s="90"/>
      <c r="BC40" s="90"/>
      <c r="BD40" s="90"/>
      <c r="BE40" s="90"/>
      <c r="BF40" s="94"/>
      <c r="BG40" s="88"/>
      <c r="BH40" s="88"/>
      <c r="BI40" s="88"/>
      <c r="BJ40" s="88"/>
      <c r="BK40" s="88"/>
      <c r="BL40" s="88"/>
      <c r="BM40" s="88"/>
      <c r="BN40" s="89">
        <f>IR40*BA40+IS40*BA40</f>
        <v>0</v>
      </c>
      <c r="BO40" s="90"/>
      <c r="BP40" s="90"/>
      <c r="BQ40" s="90"/>
      <c r="BR40" s="90"/>
      <c r="BS40" s="90"/>
      <c r="BT40" s="90"/>
      <c r="BU40" s="90"/>
      <c r="IR40" s="10">
        <f>BF40*0</f>
        <v>0</v>
      </c>
      <c r="IS40" s="10">
        <f>BF40*(1-0)</f>
        <v>0</v>
      </c>
    </row>
    <row r="41" spans="1:253" ht="12.75">
      <c r="A41" s="109" t="s">
        <v>30</v>
      </c>
      <c r="B41" s="110"/>
      <c r="C41" s="109" t="s">
        <v>172</v>
      </c>
      <c r="D41" s="110"/>
      <c r="E41" s="110"/>
      <c r="F41" s="109" t="s">
        <v>201</v>
      </c>
      <c r="G41" s="110"/>
      <c r="H41" s="110"/>
      <c r="I41" s="110"/>
      <c r="J41" s="110"/>
      <c r="K41" s="110"/>
      <c r="L41" s="109" t="s">
        <v>726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09" t="s">
        <v>554</v>
      </c>
      <c r="AZ41" s="110"/>
      <c r="BA41" s="89">
        <v>578.1</v>
      </c>
      <c r="BB41" s="90"/>
      <c r="BC41" s="90"/>
      <c r="BD41" s="90"/>
      <c r="BE41" s="90"/>
      <c r="BF41" s="94"/>
      <c r="BG41" s="88"/>
      <c r="BH41" s="88"/>
      <c r="BI41" s="88"/>
      <c r="BJ41" s="88"/>
      <c r="BK41" s="88"/>
      <c r="BL41" s="88"/>
      <c r="BM41" s="88"/>
      <c r="BN41" s="89">
        <f>IR41*BA41+IS41*BA41</f>
        <v>0</v>
      </c>
      <c r="BO41" s="90"/>
      <c r="BP41" s="90"/>
      <c r="BQ41" s="90"/>
      <c r="BR41" s="90"/>
      <c r="BS41" s="90"/>
      <c r="BT41" s="90"/>
      <c r="BU41" s="90"/>
      <c r="IR41" s="10">
        <f>BF41*0.330907003444317</f>
        <v>0</v>
      </c>
      <c r="IS41" s="10">
        <f>BF41*(1-0.330907003444317)</f>
        <v>0</v>
      </c>
    </row>
    <row r="42" spans="1:253" ht="12.75">
      <c r="A42" s="109" t="s">
        <v>31</v>
      </c>
      <c r="B42" s="110"/>
      <c r="C42" s="109" t="s">
        <v>172</v>
      </c>
      <c r="D42" s="110"/>
      <c r="E42" s="110"/>
      <c r="F42" s="109" t="s">
        <v>202</v>
      </c>
      <c r="G42" s="110"/>
      <c r="H42" s="110"/>
      <c r="I42" s="110"/>
      <c r="J42" s="110"/>
      <c r="K42" s="110"/>
      <c r="L42" s="109" t="s">
        <v>727</v>
      </c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09" t="s">
        <v>554</v>
      </c>
      <c r="AZ42" s="110"/>
      <c r="BA42" s="89">
        <v>90.46</v>
      </c>
      <c r="BB42" s="90"/>
      <c r="BC42" s="90"/>
      <c r="BD42" s="90"/>
      <c r="BE42" s="90"/>
      <c r="BF42" s="94"/>
      <c r="BG42" s="88"/>
      <c r="BH42" s="88"/>
      <c r="BI42" s="88"/>
      <c r="BJ42" s="88"/>
      <c r="BK42" s="88"/>
      <c r="BL42" s="88"/>
      <c r="BM42" s="88"/>
      <c r="BN42" s="89">
        <f>IR42*BA42+IS42*BA42</f>
        <v>0</v>
      </c>
      <c r="BO42" s="90"/>
      <c r="BP42" s="90"/>
      <c r="BQ42" s="90"/>
      <c r="BR42" s="90"/>
      <c r="BS42" s="90"/>
      <c r="BT42" s="90"/>
      <c r="BU42" s="90"/>
      <c r="IR42" s="10">
        <f>BF42*0.264166666666667</f>
        <v>0</v>
      </c>
      <c r="IS42" s="10">
        <f>BF42*(1-0.264166666666667)</f>
        <v>0</v>
      </c>
    </row>
    <row r="43" spans="1:253" ht="12.75">
      <c r="A43" s="109" t="s">
        <v>32</v>
      </c>
      <c r="B43" s="110"/>
      <c r="C43" s="109" t="s">
        <v>172</v>
      </c>
      <c r="D43" s="110"/>
      <c r="E43" s="110"/>
      <c r="F43" s="109" t="s">
        <v>203</v>
      </c>
      <c r="G43" s="110"/>
      <c r="H43" s="110"/>
      <c r="I43" s="110"/>
      <c r="J43" s="110"/>
      <c r="K43" s="110"/>
      <c r="L43" s="109" t="s">
        <v>728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09" t="s">
        <v>554</v>
      </c>
      <c r="AZ43" s="110"/>
      <c r="BA43" s="89">
        <v>98.93</v>
      </c>
      <c r="BB43" s="90"/>
      <c r="BC43" s="90"/>
      <c r="BD43" s="90"/>
      <c r="BE43" s="90"/>
      <c r="BF43" s="94"/>
      <c r="BG43" s="88"/>
      <c r="BH43" s="88"/>
      <c r="BI43" s="88"/>
      <c r="BJ43" s="88"/>
      <c r="BK43" s="88"/>
      <c r="BL43" s="88"/>
      <c r="BM43" s="88"/>
      <c r="BN43" s="89">
        <f>IR43*BA43+IS43*BA43</f>
        <v>0</v>
      </c>
      <c r="BO43" s="90"/>
      <c r="BP43" s="90"/>
      <c r="BQ43" s="90"/>
      <c r="BR43" s="90"/>
      <c r="BS43" s="90"/>
      <c r="BT43" s="90"/>
      <c r="BU43" s="90"/>
      <c r="IR43" s="10">
        <f>BF43*0.21976430976431</f>
        <v>0</v>
      </c>
      <c r="IS43" s="10">
        <f>BF43*(1-0.21976430976431)</f>
        <v>0</v>
      </c>
    </row>
    <row r="44" spans="1:73" ht="12.75">
      <c r="A44" s="102" t="s">
        <v>6</v>
      </c>
      <c r="B44" s="103"/>
      <c r="C44" s="102" t="s">
        <v>6</v>
      </c>
      <c r="D44" s="103"/>
      <c r="E44" s="103"/>
      <c r="F44" s="102" t="s">
        <v>44</v>
      </c>
      <c r="G44" s="103"/>
      <c r="H44" s="103"/>
      <c r="I44" s="103"/>
      <c r="J44" s="103"/>
      <c r="K44" s="103"/>
      <c r="L44" s="102" t="s">
        <v>382</v>
      </c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2" t="s">
        <v>6</v>
      </c>
      <c r="AZ44" s="103"/>
      <c r="BA44" s="104" t="s">
        <v>6</v>
      </c>
      <c r="BB44" s="105"/>
      <c r="BC44" s="105"/>
      <c r="BD44" s="105"/>
      <c r="BE44" s="105"/>
      <c r="BF44" s="106" t="s">
        <v>6</v>
      </c>
      <c r="BG44" s="105"/>
      <c r="BH44" s="105"/>
      <c r="BI44" s="105"/>
      <c r="BJ44" s="105"/>
      <c r="BK44" s="105"/>
      <c r="BL44" s="105"/>
      <c r="BM44" s="105"/>
      <c r="BN44" s="111">
        <f>SUM(BN45:BN45)</f>
        <v>0</v>
      </c>
      <c r="BO44" s="105"/>
      <c r="BP44" s="105"/>
      <c r="BQ44" s="105"/>
      <c r="BR44" s="105"/>
      <c r="BS44" s="105"/>
      <c r="BT44" s="105"/>
      <c r="BU44" s="105"/>
    </row>
    <row r="45" spans="1:253" ht="12.75">
      <c r="A45" s="109" t="s">
        <v>33</v>
      </c>
      <c r="B45" s="110"/>
      <c r="C45" s="109" t="s">
        <v>172</v>
      </c>
      <c r="D45" s="110"/>
      <c r="E45" s="110"/>
      <c r="F45" s="109" t="s">
        <v>204</v>
      </c>
      <c r="G45" s="110"/>
      <c r="H45" s="110"/>
      <c r="I45" s="110"/>
      <c r="J45" s="110"/>
      <c r="K45" s="110"/>
      <c r="L45" s="109" t="s">
        <v>383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09" t="s">
        <v>557</v>
      </c>
      <c r="AZ45" s="110"/>
      <c r="BA45" s="89">
        <v>2</v>
      </c>
      <c r="BB45" s="90"/>
      <c r="BC45" s="90"/>
      <c r="BD45" s="90"/>
      <c r="BE45" s="90"/>
      <c r="BF45" s="94"/>
      <c r="BG45" s="88"/>
      <c r="BH45" s="88"/>
      <c r="BI45" s="88"/>
      <c r="BJ45" s="88"/>
      <c r="BK45" s="88"/>
      <c r="BL45" s="88"/>
      <c r="BM45" s="88"/>
      <c r="BN45" s="89">
        <f>IR45*BA45+IS45*BA45</f>
        <v>0</v>
      </c>
      <c r="BO45" s="90"/>
      <c r="BP45" s="90"/>
      <c r="BQ45" s="90"/>
      <c r="BR45" s="90"/>
      <c r="BS45" s="90"/>
      <c r="BT45" s="90"/>
      <c r="BU45" s="90"/>
      <c r="IR45" s="10">
        <f>BF45*1</f>
        <v>0</v>
      </c>
      <c r="IS45" s="10">
        <f>BF45*(1-1)</f>
        <v>0</v>
      </c>
    </row>
    <row r="46" spans="1:73" ht="12.75">
      <c r="A46" s="102" t="s">
        <v>6</v>
      </c>
      <c r="B46" s="103"/>
      <c r="C46" s="102" t="s">
        <v>6</v>
      </c>
      <c r="D46" s="103"/>
      <c r="E46" s="103"/>
      <c r="F46" s="102" t="s">
        <v>47</v>
      </c>
      <c r="G46" s="103"/>
      <c r="H46" s="103"/>
      <c r="I46" s="103"/>
      <c r="J46" s="103"/>
      <c r="K46" s="103"/>
      <c r="L46" s="102" t="s">
        <v>384</v>
      </c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2" t="s">
        <v>6</v>
      </c>
      <c r="AZ46" s="103"/>
      <c r="BA46" s="104" t="s">
        <v>6</v>
      </c>
      <c r="BB46" s="105"/>
      <c r="BC46" s="105"/>
      <c r="BD46" s="105"/>
      <c r="BE46" s="105"/>
      <c r="BF46" s="106" t="s">
        <v>6</v>
      </c>
      <c r="BG46" s="105"/>
      <c r="BH46" s="105"/>
      <c r="BI46" s="105"/>
      <c r="BJ46" s="105"/>
      <c r="BK46" s="105"/>
      <c r="BL46" s="105"/>
      <c r="BM46" s="105"/>
      <c r="BN46" s="111">
        <f>SUM(BN47:BN48)</f>
        <v>0</v>
      </c>
      <c r="BO46" s="105"/>
      <c r="BP46" s="105"/>
      <c r="BQ46" s="105"/>
      <c r="BR46" s="105"/>
      <c r="BS46" s="105"/>
      <c r="BT46" s="105"/>
      <c r="BU46" s="105"/>
    </row>
    <row r="47" spans="1:253" ht="12.75">
      <c r="A47" s="109" t="s">
        <v>34</v>
      </c>
      <c r="B47" s="110"/>
      <c r="C47" s="109" t="s">
        <v>172</v>
      </c>
      <c r="D47" s="110"/>
      <c r="E47" s="110"/>
      <c r="F47" s="109" t="s">
        <v>205</v>
      </c>
      <c r="G47" s="110"/>
      <c r="H47" s="110"/>
      <c r="I47" s="110"/>
      <c r="J47" s="110"/>
      <c r="K47" s="110"/>
      <c r="L47" s="109" t="s">
        <v>385</v>
      </c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09" t="s">
        <v>554</v>
      </c>
      <c r="AZ47" s="110"/>
      <c r="BA47" s="89">
        <v>634.4</v>
      </c>
      <c r="BB47" s="90"/>
      <c r="BC47" s="90"/>
      <c r="BD47" s="90"/>
      <c r="BE47" s="90"/>
      <c r="BF47" s="94"/>
      <c r="BG47" s="88"/>
      <c r="BH47" s="88"/>
      <c r="BI47" s="88"/>
      <c r="BJ47" s="88"/>
      <c r="BK47" s="88"/>
      <c r="BL47" s="88"/>
      <c r="BM47" s="88"/>
      <c r="BN47" s="89">
        <f>IR47*BA47+IS47*BA47</f>
        <v>0</v>
      </c>
      <c r="BO47" s="90"/>
      <c r="BP47" s="90"/>
      <c r="BQ47" s="90"/>
      <c r="BR47" s="90"/>
      <c r="BS47" s="90"/>
      <c r="BT47" s="90"/>
      <c r="BU47" s="90"/>
      <c r="IR47" s="10">
        <f>BF47*0.392645914396887</f>
        <v>0</v>
      </c>
      <c r="IS47" s="10">
        <f>BF47*(1-0.392645914396887)</f>
        <v>0</v>
      </c>
    </row>
    <row r="48" spans="1:253" ht="12.75">
      <c r="A48" s="109" t="s">
        <v>35</v>
      </c>
      <c r="B48" s="110"/>
      <c r="C48" s="109" t="s">
        <v>172</v>
      </c>
      <c r="D48" s="110"/>
      <c r="E48" s="110"/>
      <c r="F48" s="109" t="s">
        <v>206</v>
      </c>
      <c r="G48" s="110"/>
      <c r="H48" s="110"/>
      <c r="I48" s="110"/>
      <c r="J48" s="110"/>
      <c r="K48" s="110"/>
      <c r="L48" s="109" t="s">
        <v>386</v>
      </c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09" t="s">
        <v>554</v>
      </c>
      <c r="AZ48" s="110"/>
      <c r="BA48" s="89">
        <v>729.56</v>
      </c>
      <c r="BB48" s="90"/>
      <c r="BC48" s="90"/>
      <c r="BD48" s="90"/>
      <c r="BE48" s="90"/>
      <c r="BF48" s="94"/>
      <c r="BG48" s="88"/>
      <c r="BH48" s="88"/>
      <c r="BI48" s="88"/>
      <c r="BJ48" s="88"/>
      <c r="BK48" s="88"/>
      <c r="BL48" s="88"/>
      <c r="BM48" s="88"/>
      <c r="BN48" s="89">
        <f>IR48*BA48+IS48*BA48</f>
        <v>0</v>
      </c>
      <c r="BO48" s="90"/>
      <c r="BP48" s="90"/>
      <c r="BQ48" s="90"/>
      <c r="BR48" s="90"/>
      <c r="BS48" s="90"/>
      <c r="BT48" s="90"/>
      <c r="BU48" s="90"/>
      <c r="IR48" s="10">
        <f>BF48*0.347508156148048</f>
        <v>0</v>
      </c>
      <c r="IS48" s="10">
        <f>BF48*(1-0.347508156148048)</f>
        <v>0</v>
      </c>
    </row>
    <row r="49" spans="1:73" ht="12.75">
      <c r="A49" s="102" t="s">
        <v>6</v>
      </c>
      <c r="B49" s="103"/>
      <c r="C49" s="102" t="s">
        <v>6</v>
      </c>
      <c r="D49" s="103"/>
      <c r="E49" s="103"/>
      <c r="F49" s="102" t="s">
        <v>50</v>
      </c>
      <c r="G49" s="103"/>
      <c r="H49" s="103"/>
      <c r="I49" s="103"/>
      <c r="J49" s="103"/>
      <c r="K49" s="103"/>
      <c r="L49" s="102" t="s">
        <v>387</v>
      </c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2" t="s">
        <v>6</v>
      </c>
      <c r="AZ49" s="103"/>
      <c r="BA49" s="104" t="s">
        <v>6</v>
      </c>
      <c r="BB49" s="105"/>
      <c r="BC49" s="105"/>
      <c r="BD49" s="105"/>
      <c r="BE49" s="105"/>
      <c r="BF49" s="106" t="s">
        <v>6</v>
      </c>
      <c r="BG49" s="105"/>
      <c r="BH49" s="105"/>
      <c r="BI49" s="105"/>
      <c r="BJ49" s="105"/>
      <c r="BK49" s="105"/>
      <c r="BL49" s="105"/>
      <c r="BM49" s="105"/>
      <c r="BN49" s="111">
        <f>SUM(BN50:BN52)</f>
        <v>0</v>
      </c>
      <c r="BO49" s="105"/>
      <c r="BP49" s="105"/>
      <c r="BQ49" s="105"/>
      <c r="BR49" s="105"/>
      <c r="BS49" s="105"/>
      <c r="BT49" s="105"/>
      <c r="BU49" s="105"/>
    </row>
    <row r="50" spans="1:253" ht="12.75">
      <c r="A50" s="109" t="s">
        <v>36</v>
      </c>
      <c r="B50" s="110"/>
      <c r="C50" s="109" t="s">
        <v>172</v>
      </c>
      <c r="D50" s="110"/>
      <c r="E50" s="110"/>
      <c r="F50" s="109" t="s">
        <v>207</v>
      </c>
      <c r="G50" s="110"/>
      <c r="H50" s="110"/>
      <c r="I50" s="110"/>
      <c r="J50" s="110"/>
      <c r="K50" s="110"/>
      <c r="L50" s="109" t="s">
        <v>730</v>
      </c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09" t="s">
        <v>556</v>
      </c>
      <c r="AZ50" s="110"/>
      <c r="BA50" s="89">
        <v>184.16</v>
      </c>
      <c r="BB50" s="90"/>
      <c r="BC50" s="90"/>
      <c r="BD50" s="90"/>
      <c r="BE50" s="90"/>
      <c r="BF50" s="94"/>
      <c r="BG50" s="88"/>
      <c r="BH50" s="88"/>
      <c r="BI50" s="88"/>
      <c r="BJ50" s="88"/>
      <c r="BK50" s="88"/>
      <c r="BL50" s="88"/>
      <c r="BM50" s="88"/>
      <c r="BN50" s="89">
        <f>IR50*BA50+IS50*BA50</f>
        <v>0</v>
      </c>
      <c r="BO50" s="90"/>
      <c r="BP50" s="90"/>
      <c r="BQ50" s="90"/>
      <c r="BR50" s="90"/>
      <c r="BS50" s="90"/>
      <c r="BT50" s="90"/>
      <c r="BU50" s="90"/>
      <c r="IR50" s="10">
        <f>BF50*0</f>
        <v>0</v>
      </c>
      <c r="IS50" s="10">
        <f>BF50*(1-0)</f>
        <v>0</v>
      </c>
    </row>
    <row r="51" spans="1:253" ht="12.75">
      <c r="A51" s="109" t="s">
        <v>37</v>
      </c>
      <c r="B51" s="110"/>
      <c r="C51" s="109" t="s">
        <v>172</v>
      </c>
      <c r="D51" s="110"/>
      <c r="E51" s="110"/>
      <c r="F51" s="109" t="s">
        <v>208</v>
      </c>
      <c r="G51" s="110"/>
      <c r="H51" s="110"/>
      <c r="I51" s="110"/>
      <c r="J51" s="110"/>
      <c r="K51" s="110"/>
      <c r="L51" s="109" t="s">
        <v>729</v>
      </c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09" t="s">
        <v>554</v>
      </c>
      <c r="AZ51" s="110"/>
      <c r="BA51" s="89">
        <v>694.26</v>
      </c>
      <c r="BB51" s="90"/>
      <c r="BC51" s="90"/>
      <c r="BD51" s="90"/>
      <c r="BE51" s="90"/>
      <c r="BF51" s="94"/>
      <c r="BG51" s="88"/>
      <c r="BH51" s="88"/>
      <c r="BI51" s="88"/>
      <c r="BJ51" s="88"/>
      <c r="BK51" s="88"/>
      <c r="BL51" s="88"/>
      <c r="BM51" s="88"/>
      <c r="BN51" s="89">
        <f>IR51*BA51+IS51*BA51</f>
        <v>0</v>
      </c>
      <c r="BO51" s="90"/>
      <c r="BP51" s="90"/>
      <c r="BQ51" s="90"/>
      <c r="BR51" s="90"/>
      <c r="BS51" s="90"/>
      <c r="BT51" s="90"/>
      <c r="BU51" s="90"/>
      <c r="IR51" s="10">
        <f>BF51*0.322632226322263</f>
        <v>0</v>
      </c>
      <c r="IS51" s="10">
        <f>BF51*(1-0.322632226322263)</f>
        <v>0</v>
      </c>
    </row>
    <row r="52" spans="1:253" ht="12.75">
      <c r="A52" s="109" t="s">
        <v>38</v>
      </c>
      <c r="B52" s="110"/>
      <c r="C52" s="109" t="s">
        <v>172</v>
      </c>
      <c r="D52" s="110"/>
      <c r="E52" s="110"/>
      <c r="F52" s="109" t="s">
        <v>209</v>
      </c>
      <c r="G52" s="110"/>
      <c r="H52" s="110"/>
      <c r="I52" s="110"/>
      <c r="J52" s="110"/>
      <c r="K52" s="110"/>
      <c r="L52" s="109" t="s">
        <v>390</v>
      </c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09" t="s">
        <v>558</v>
      </c>
      <c r="AZ52" s="110"/>
      <c r="BA52" s="89">
        <v>4</v>
      </c>
      <c r="BB52" s="90"/>
      <c r="BC52" s="90"/>
      <c r="BD52" s="90"/>
      <c r="BE52" s="90"/>
      <c r="BF52" s="94"/>
      <c r="BG52" s="88"/>
      <c r="BH52" s="88"/>
      <c r="BI52" s="88"/>
      <c r="BJ52" s="88"/>
      <c r="BK52" s="88"/>
      <c r="BL52" s="88"/>
      <c r="BM52" s="88"/>
      <c r="BN52" s="89">
        <f>IR52*BA52+IS52*BA52</f>
        <v>0</v>
      </c>
      <c r="BO52" s="90"/>
      <c r="BP52" s="90"/>
      <c r="BQ52" s="90"/>
      <c r="BR52" s="90"/>
      <c r="BS52" s="90"/>
      <c r="BT52" s="90"/>
      <c r="BU52" s="90"/>
      <c r="IR52" s="10">
        <f>BF52*0</f>
        <v>0</v>
      </c>
      <c r="IS52" s="10">
        <f>BF52*(1-0)</f>
        <v>0</v>
      </c>
    </row>
    <row r="53" spans="1:73" ht="12.75">
      <c r="A53" s="102" t="s">
        <v>6</v>
      </c>
      <c r="B53" s="103"/>
      <c r="C53" s="102" t="s">
        <v>6</v>
      </c>
      <c r="D53" s="103"/>
      <c r="E53" s="103"/>
      <c r="F53" s="102" t="s">
        <v>51</v>
      </c>
      <c r="G53" s="103"/>
      <c r="H53" s="103"/>
      <c r="I53" s="103"/>
      <c r="J53" s="103"/>
      <c r="K53" s="103"/>
      <c r="L53" s="102" t="s">
        <v>391</v>
      </c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2" t="s">
        <v>6</v>
      </c>
      <c r="AZ53" s="103"/>
      <c r="BA53" s="104" t="s">
        <v>6</v>
      </c>
      <c r="BB53" s="105"/>
      <c r="BC53" s="105"/>
      <c r="BD53" s="105"/>
      <c r="BE53" s="105"/>
      <c r="BF53" s="106" t="s">
        <v>6</v>
      </c>
      <c r="BG53" s="105"/>
      <c r="BH53" s="105"/>
      <c r="BI53" s="105"/>
      <c r="BJ53" s="105"/>
      <c r="BK53" s="105"/>
      <c r="BL53" s="105"/>
      <c r="BM53" s="105"/>
      <c r="BN53" s="111">
        <f>SUM(BN54:BN54)</f>
        <v>0</v>
      </c>
      <c r="BO53" s="105"/>
      <c r="BP53" s="105"/>
      <c r="BQ53" s="105"/>
      <c r="BR53" s="105"/>
      <c r="BS53" s="105"/>
      <c r="BT53" s="105"/>
      <c r="BU53" s="105"/>
    </row>
    <row r="54" spans="1:253" ht="12.75">
      <c r="A54" s="109" t="s">
        <v>39</v>
      </c>
      <c r="B54" s="110"/>
      <c r="C54" s="109" t="s">
        <v>172</v>
      </c>
      <c r="D54" s="110"/>
      <c r="E54" s="110"/>
      <c r="F54" s="109" t="s">
        <v>210</v>
      </c>
      <c r="G54" s="110"/>
      <c r="H54" s="110"/>
      <c r="I54" s="110"/>
      <c r="J54" s="110"/>
      <c r="K54" s="110"/>
      <c r="L54" s="109" t="s">
        <v>392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09" t="s">
        <v>552</v>
      </c>
      <c r="AZ54" s="110"/>
      <c r="BA54" s="89">
        <v>0.82</v>
      </c>
      <c r="BB54" s="90"/>
      <c r="BC54" s="90"/>
      <c r="BD54" s="90"/>
      <c r="BE54" s="90"/>
      <c r="BF54" s="94"/>
      <c r="BG54" s="88"/>
      <c r="BH54" s="88"/>
      <c r="BI54" s="88"/>
      <c r="BJ54" s="88"/>
      <c r="BK54" s="88"/>
      <c r="BL54" s="88"/>
      <c r="BM54" s="88"/>
      <c r="BN54" s="89">
        <f>IR54*BA54+IS54*BA54</f>
        <v>0</v>
      </c>
      <c r="BO54" s="90"/>
      <c r="BP54" s="90"/>
      <c r="BQ54" s="90"/>
      <c r="BR54" s="90"/>
      <c r="BS54" s="90"/>
      <c r="BT54" s="90"/>
      <c r="BU54" s="90"/>
      <c r="IR54" s="10">
        <f>BF54*0.575827186512118</f>
        <v>0</v>
      </c>
      <c r="IS54" s="10">
        <f>BF54*(1-0.575827186512118)</f>
        <v>0</v>
      </c>
    </row>
    <row r="55" spans="1:73" ht="12.75">
      <c r="A55" s="102" t="s">
        <v>6</v>
      </c>
      <c r="B55" s="103"/>
      <c r="C55" s="102" t="s">
        <v>6</v>
      </c>
      <c r="D55" s="103"/>
      <c r="E55" s="103"/>
      <c r="F55" s="102" t="s">
        <v>69</v>
      </c>
      <c r="G55" s="103"/>
      <c r="H55" s="103"/>
      <c r="I55" s="103"/>
      <c r="J55" s="103"/>
      <c r="K55" s="103"/>
      <c r="L55" s="102" t="s">
        <v>393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2" t="s">
        <v>6</v>
      </c>
      <c r="AZ55" s="103"/>
      <c r="BA55" s="104" t="s">
        <v>6</v>
      </c>
      <c r="BB55" s="105"/>
      <c r="BC55" s="105"/>
      <c r="BD55" s="105"/>
      <c r="BE55" s="105"/>
      <c r="BF55" s="106" t="s">
        <v>6</v>
      </c>
      <c r="BG55" s="105"/>
      <c r="BH55" s="105"/>
      <c r="BI55" s="105"/>
      <c r="BJ55" s="105"/>
      <c r="BK55" s="105"/>
      <c r="BL55" s="105"/>
      <c r="BM55" s="105"/>
      <c r="BN55" s="111">
        <f>SUM(BN56:BN62)</f>
        <v>0</v>
      </c>
      <c r="BO55" s="105"/>
      <c r="BP55" s="105"/>
      <c r="BQ55" s="105"/>
      <c r="BR55" s="105"/>
      <c r="BS55" s="105"/>
      <c r="BT55" s="105"/>
      <c r="BU55" s="105"/>
    </row>
    <row r="56" spans="1:253" ht="12.75">
      <c r="A56" s="109" t="s">
        <v>40</v>
      </c>
      <c r="B56" s="110"/>
      <c r="C56" s="109" t="s">
        <v>172</v>
      </c>
      <c r="D56" s="110"/>
      <c r="E56" s="110"/>
      <c r="F56" s="109" t="s">
        <v>211</v>
      </c>
      <c r="G56" s="110"/>
      <c r="H56" s="110"/>
      <c r="I56" s="110"/>
      <c r="J56" s="110"/>
      <c r="K56" s="110"/>
      <c r="L56" s="109" t="s">
        <v>394</v>
      </c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09" t="s">
        <v>552</v>
      </c>
      <c r="AZ56" s="110"/>
      <c r="BA56" s="89">
        <v>232.7</v>
      </c>
      <c r="BB56" s="90"/>
      <c r="BC56" s="90"/>
      <c r="BD56" s="90"/>
      <c r="BE56" s="90"/>
      <c r="BF56" s="94"/>
      <c r="BG56" s="88"/>
      <c r="BH56" s="88"/>
      <c r="BI56" s="88"/>
      <c r="BJ56" s="88"/>
      <c r="BK56" s="88"/>
      <c r="BL56" s="88"/>
      <c r="BM56" s="88"/>
      <c r="BN56" s="89">
        <f aca="true" t="shared" si="1" ref="BN56:BN62">IR56*BA56+IS56*BA56</f>
        <v>0</v>
      </c>
      <c r="BO56" s="90"/>
      <c r="BP56" s="90"/>
      <c r="BQ56" s="90"/>
      <c r="BR56" s="90"/>
      <c r="BS56" s="90"/>
      <c r="BT56" s="90"/>
      <c r="BU56" s="90"/>
      <c r="IR56" s="10">
        <f>BF56*0</f>
        <v>0</v>
      </c>
      <c r="IS56" s="10">
        <f>BF56*(1-0)</f>
        <v>0</v>
      </c>
    </row>
    <row r="57" spans="1:253" ht="12.75">
      <c r="A57" s="109" t="s">
        <v>41</v>
      </c>
      <c r="B57" s="110"/>
      <c r="C57" s="109" t="s">
        <v>172</v>
      </c>
      <c r="D57" s="110"/>
      <c r="E57" s="110"/>
      <c r="F57" s="109" t="s">
        <v>212</v>
      </c>
      <c r="G57" s="110"/>
      <c r="H57" s="110"/>
      <c r="I57" s="110"/>
      <c r="J57" s="110"/>
      <c r="K57" s="110"/>
      <c r="L57" s="109" t="s">
        <v>395</v>
      </c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09" t="s">
        <v>552</v>
      </c>
      <c r="AZ57" s="110"/>
      <c r="BA57" s="89">
        <v>7.59</v>
      </c>
      <c r="BB57" s="90"/>
      <c r="BC57" s="90"/>
      <c r="BD57" s="90"/>
      <c r="BE57" s="90"/>
      <c r="BF57" s="94"/>
      <c r="BG57" s="88"/>
      <c r="BH57" s="88"/>
      <c r="BI57" s="88"/>
      <c r="BJ57" s="88"/>
      <c r="BK57" s="88"/>
      <c r="BL57" s="88"/>
      <c r="BM57" s="88"/>
      <c r="BN57" s="89">
        <f t="shared" si="1"/>
        <v>0</v>
      </c>
      <c r="BO57" s="90"/>
      <c r="BP57" s="90"/>
      <c r="BQ57" s="90"/>
      <c r="BR57" s="90"/>
      <c r="BS57" s="90"/>
      <c r="BT57" s="90"/>
      <c r="BU57" s="90"/>
      <c r="IR57" s="10">
        <f>BF57*0.656741324921136</f>
        <v>0</v>
      </c>
      <c r="IS57" s="10">
        <f>BF57*(1-0.656741324921136)</f>
        <v>0</v>
      </c>
    </row>
    <row r="58" spans="1:253" ht="12.75">
      <c r="A58" s="109" t="s">
        <v>42</v>
      </c>
      <c r="B58" s="110"/>
      <c r="C58" s="109" t="s">
        <v>172</v>
      </c>
      <c r="D58" s="110"/>
      <c r="E58" s="110"/>
      <c r="F58" s="109" t="s">
        <v>213</v>
      </c>
      <c r="G58" s="110"/>
      <c r="H58" s="110"/>
      <c r="I58" s="110"/>
      <c r="J58" s="110"/>
      <c r="K58" s="110"/>
      <c r="L58" s="109" t="s">
        <v>396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09" t="s">
        <v>553</v>
      </c>
      <c r="AZ58" s="110"/>
      <c r="BA58" s="89">
        <v>7.01</v>
      </c>
      <c r="BB58" s="90"/>
      <c r="BC58" s="90"/>
      <c r="BD58" s="90"/>
      <c r="BE58" s="90"/>
      <c r="BF58" s="94"/>
      <c r="BG58" s="88"/>
      <c r="BH58" s="88"/>
      <c r="BI58" s="88"/>
      <c r="BJ58" s="88"/>
      <c r="BK58" s="88"/>
      <c r="BL58" s="88"/>
      <c r="BM58" s="88"/>
      <c r="BN58" s="89">
        <f t="shared" si="1"/>
        <v>0</v>
      </c>
      <c r="BO58" s="90"/>
      <c r="BP58" s="90"/>
      <c r="BQ58" s="90"/>
      <c r="BR58" s="90"/>
      <c r="BS58" s="90"/>
      <c r="BT58" s="90"/>
      <c r="BU58" s="90"/>
      <c r="IR58" s="10">
        <f>BF58*0.813467324290999</f>
        <v>0</v>
      </c>
      <c r="IS58" s="10">
        <f>BF58*(1-0.813467324290999)</f>
        <v>0</v>
      </c>
    </row>
    <row r="59" spans="1:253" ht="12.75">
      <c r="A59" s="109" t="s">
        <v>43</v>
      </c>
      <c r="B59" s="110"/>
      <c r="C59" s="109" t="s">
        <v>172</v>
      </c>
      <c r="D59" s="110"/>
      <c r="E59" s="110"/>
      <c r="F59" s="109" t="s">
        <v>214</v>
      </c>
      <c r="G59" s="110"/>
      <c r="H59" s="110"/>
      <c r="I59" s="110"/>
      <c r="J59" s="110"/>
      <c r="K59" s="110"/>
      <c r="L59" s="109" t="s">
        <v>397</v>
      </c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09" t="s">
        <v>552</v>
      </c>
      <c r="AZ59" s="110"/>
      <c r="BA59" s="89">
        <v>7.59</v>
      </c>
      <c r="BB59" s="90"/>
      <c r="BC59" s="90"/>
      <c r="BD59" s="90"/>
      <c r="BE59" s="90"/>
      <c r="BF59" s="94"/>
      <c r="BG59" s="88"/>
      <c r="BH59" s="88"/>
      <c r="BI59" s="88"/>
      <c r="BJ59" s="88"/>
      <c r="BK59" s="88"/>
      <c r="BL59" s="88"/>
      <c r="BM59" s="88"/>
      <c r="BN59" s="89">
        <f t="shared" si="1"/>
        <v>0</v>
      </c>
      <c r="BO59" s="90"/>
      <c r="BP59" s="90"/>
      <c r="BQ59" s="90"/>
      <c r="BR59" s="90"/>
      <c r="BS59" s="90"/>
      <c r="BT59" s="90"/>
      <c r="BU59" s="90"/>
      <c r="IR59" s="10">
        <f>BF59*0</f>
        <v>0</v>
      </c>
      <c r="IS59" s="10">
        <f>BF59*(1-0)</f>
        <v>0</v>
      </c>
    </row>
    <row r="60" spans="1:253" ht="12.75">
      <c r="A60" s="109" t="s">
        <v>44</v>
      </c>
      <c r="B60" s="110"/>
      <c r="C60" s="109" t="s">
        <v>172</v>
      </c>
      <c r="D60" s="110"/>
      <c r="E60" s="110"/>
      <c r="F60" s="109" t="s">
        <v>215</v>
      </c>
      <c r="G60" s="110"/>
      <c r="H60" s="110"/>
      <c r="I60" s="110"/>
      <c r="J60" s="110"/>
      <c r="K60" s="110"/>
      <c r="L60" s="109" t="s">
        <v>398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09" t="s">
        <v>552</v>
      </c>
      <c r="AZ60" s="110"/>
      <c r="BA60" s="89">
        <v>116.35</v>
      </c>
      <c r="BB60" s="90"/>
      <c r="BC60" s="90"/>
      <c r="BD60" s="90"/>
      <c r="BE60" s="90"/>
      <c r="BF60" s="94"/>
      <c r="BG60" s="88"/>
      <c r="BH60" s="88"/>
      <c r="BI60" s="88"/>
      <c r="BJ60" s="88"/>
      <c r="BK60" s="88"/>
      <c r="BL60" s="88"/>
      <c r="BM60" s="88"/>
      <c r="BN60" s="89">
        <f t="shared" si="1"/>
        <v>0</v>
      </c>
      <c r="BO60" s="90"/>
      <c r="BP60" s="90"/>
      <c r="BQ60" s="90"/>
      <c r="BR60" s="90"/>
      <c r="BS60" s="90"/>
      <c r="BT60" s="90"/>
      <c r="BU60" s="90"/>
      <c r="IR60" s="10">
        <f>BF60*0.0973333333333333</f>
        <v>0</v>
      </c>
      <c r="IS60" s="10">
        <f>BF60*(1-0.0973333333333333)</f>
        <v>0</v>
      </c>
    </row>
    <row r="61" spans="1:253" ht="12.75">
      <c r="A61" s="109" t="s">
        <v>45</v>
      </c>
      <c r="B61" s="110"/>
      <c r="C61" s="109" t="s">
        <v>172</v>
      </c>
      <c r="D61" s="110"/>
      <c r="E61" s="110"/>
      <c r="F61" s="109" t="s">
        <v>216</v>
      </c>
      <c r="G61" s="110"/>
      <c r="H61" s="110"/>
      <c r="I61" s="110"/>
      <c r="J61" s="110"/>
      <c r="K61" s="110"/>
      <c r="L61" s="109" t="s">
        <v>399</v>
      </c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09" t="s">
        <v>552</v>
      </c>
      <c r="AZ61" s="110"/>
      <c r="BA61" s="89">
        <v>7.59</v>
      </c>
      <c r="BB61" s="90"/>
      <c r="BC61" s="90"/>
      <c r="BD61" s="90"/>
      <c r="BE61" s="90"/>
      <c r="BF61" s="94"/>
      <c r="BG61" s="88"/>
      <c r="BH61" s="88"/>
      <c r="BI61" s="88"/>
      <c r="BJ61" s="88"/>
      <c r="BK61" s="88"/>
      <c r="BL61" s="88"/>
      <c r="BM61" s="88"/>
      <c r="BN61" s="89">
        <f t="shared" si="1"/>
        <v>0</v>
      </c>
      <c r="BO61" s="90"/>
      <c r="BP61" s="90"/>
      <c r="BQ61" s="90"/>
      <c r="BR61" s="90"/>
      <c r="BS61" s="90"/>
      <c r="BT61" s="90"/>
      <c r="BU61" s="90"/>
      <c r="IR61" s="10">
        <f>BF61*0.0973333333333333</f>
        <v>0</v>
      </c>
      <c r="IS61" s="10">
        <f>BF61*(1-0.0973333333333333)</f>
        <v>0</v>
      </c>
    </row>
    <row r="62" spans="1:253" ht="12.75">
      <c r="A62" s="109" t="s">
        <v>46</v>
      </c>
      <c r="B62" s="110"/>
      <c r="C62" s="109" t="s">
        <v>172</v>
      </c>
      <c r="D62" s="110"/>
      <c r="E62" s="110"/>
      <c r="F62" s="109" t="s">
        <v>217</v>
      </c>
      <c r="G62" s="110"/>
      <c r="H62" s="110"/>
      <c r="I62" s="110"/>
      <c r="J62" s="110"/>
      <c r="K62" s="110"/>
      <c r="L62" s="109" t="s">
        <v>400</v>
      </c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09" t="s">
        <v>552</v>
      </c>
      <c r="AZ62" s="110"/>
      <c r="BA62" s="89">
        <v>116.35</v>
      </c>
      <c r="BB62" s="90"/>
      <c r="BC62" s="90"/>
      <c r="BD62" s="90"/>
      <c r="BE62" s="90"/>
      <c r="BF62" s="94"/>
      <c r="BG62" s="88"/>
      <c r="BH62" s="88"/>
      <c r="BI62" s="88"/>
      <c r="BJ62" s="88"/>
      <c r="BK62" s="88"/>
      <c r="BL62" s="88"/>
      <c r="BM62" s="88"/>
      <c r="BN62" s="89">
        <f t="shared" si="1"/>
        <v>0</v>
      </c>
      <c r="BO62" s="90"/>
      <c r="BP62" s="90"/>
      <c r="BQ62" s="90"/>
      <c r="BR62" s="90"/>
      <c r="BS62" s="90"/>
      <c r="BT62" s="90"/>
      <c r="BU62" s="90"/>
      <c r="IR62" s="10">
        <f>BF62*0.730637781629116</f>
        <v>0</v>
      </c>
      <c r="IS62" s="10">
        <f>BF62*(1-0.730637781629116)</f>
        <v>0</v>
      </c>
    </row>
    <row r="63" spans="1:73" ht="12.75">
      <c r="A63" s="102" t="s">
        <v>6</v>
      </c>
      <c r="B63" s="103"/>
      <c r="C63" s="102" t="s">
        <v>6</v>
      </c>
      <c r="D63" s="103"/>
      <c r="E63" s="103"/>
      <c r="F63" s="102" t="s">
        <v>70</v>
      </c>
      <c r="G63" s="103"/>
      <c r="H63" s="103"/>
      <c r="I63" s="103"/>
      <c r="J63" s="103"/>
      <c r="K63" s="103"/>
      <c r="L63" s="102" t="s">
        <v>401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2" t="s">
        <v>6</v>
      </c>
      <c r="AZ63" s="103"/>
      <c r="BA63" s="104" t="s">
        <v>6</v>
      </c>
      <c r="BB63" s="105"/>
      <c r="BC63" s="105"/>
      <c r="BD63" s="105"/>
      <c r="BE63" s="105"/>
      <c r="BF63" s="106" t="s">
        <v>6</v>
      </c>
      <c r="BG63" s="105"/>
      <c r="BH63" s="105"/>
      <c r="BI63" s="105"/>
      <c r="BJ63" s="105"/>
      <c r="BK63" s="105"/>
      <c r="BL63" s="105"/>
      <c r="BM63" s="105"/>
      <c r="BN63" s="111">
        <f>SUM(BN64:BN71)</f>
        <v>0</v>
      </c>
      <c r="BO63" s="105"/>
      <c r="BP63" s="105"/>
      <c r="BQ63" s="105"/>
      <c r="BR63" s="105"/>
      <c r="BS63" s="105"/>
      <c r="BT63" s="105"/>
      <c r="BU63" s="105"/>
    </row>
    <row r="64" spans="1:253" ht="12.75">
      <c r="A64" s="109" t="s">
        <v>47</v>
      </c>
      <c r="B64" s="110"/>
      <c r="C64" s="109" t="s">
        <v>172</v>
      </c>
      <c r="D64" s="110"/>
      <c r="E64" s="110"/>
      <c r="F64" s="109" t="s">
        <v>218</v>
      </c>
      <c r="G64" s="110"/>
      <c r="H64" s="110"/>
      <c r="I64" s="110"/>
      <c r="J64" s="110"/>
      <c r="K64" s="110"/>
      <c r="L64" s="109" t="s">
        <v>402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09" t="s">
        <v>555</v>
      </c>
      <c r="AZ64" s="110"/>
      <c r="BA64" s="89">
        <v>12</v>
      </c>
      <c r="BB64" s="90"/>
      <c r="BC64" s="90"/>
      <c r="BD64" s="90"/>
      <c r="BE64" s="90"/>
      <c r="BF64" s="94"/>
      <c r="BG64" s="88"/>
      <c r="BH64" s="88"/>
      <c r="BI64" s="88"/>
      <c r="BJ64" s="88"/>
      <c r="BK64" s="88"/>
      <c r="BL64" s="88"/>
      <c r="BM64" s="88"/>
      <c r="BN64" s="89">
        <f aca="true" t="shared" si="2" ref="BN64:BN71">IR64*BA64+IS64*BA64</f>
        <v>0</v>
      </c>
      <c r="BO64" s="90"/>
      <c r="BP64" s="90"/>
      <c r="BQ64" s="90"/>
      <c r="BR64" s="90"/>
      <c r="BS64" s="90"/>
      <c r="BT64" s="90"/>
      <c r="BU64" s="90"/>
      <c r="IR64" s="10">
        <f aca="true" t="shared" si="3" ref="IR64:IR71">BF64*1</f>
        <v>0</v>
      </c>
      <c r="IS64" s="10">
        <f aca="true" t="shared" si="4" ref="IS64:IS71">BF64*(1-1)</f>
        <v>0</v>
      </c>
    </row>
    <row r="65" spans="1:253" ht="12.75">
      <c r="A65" s="109" t="s">
        <v>48</v>
      </c>
      <c r="B65" s="110"/>
      <c r="C65" s="109" t="s">
        <v>172</v>
      </c>
      <c r="D65" s="110"/>
      <c r="E65" s="110"/>
      <c r="F65" s="109" t="s">
        <v>219</v>
      </c>
      <c r="G65" s="110"/>
      <c r="H65" s="110"/>
      <c r="I65" s="110"/>
      <c r="J65" s="110"/>
      <c r="K65" s="110"/>
      <c r="L65" s="109" t="s">
        <v>403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09" t="s">
        <v>555</v>
      </c>
      <c r="AZ65" s="110"/>
      <c r="BA65" s="89">
        <v>2</v>
      </c>
      <c r="BB65" s="90"/>
      <c r="BC65" s="90"/>
      <c r="BD65" s="90"/>
      <c r="BE65" s="90"/>
      <c r="BF65" s="94"/>
      <c r="BG65" s="88"/>
      <c r="BH65" s="88"/>
      <c r="BI65" s="88"/>
      <c r="BJ65" s="88"/>
      <c r="BK65" s="88"/>
      <c r="BL65" s="88"/>
      <c r="BM65" s="88"/>
      <c r="BN65" s="89">
        <f t="shared" si="2"/>
        <v>0</v>
      </c>
      <c r="BO65" s="90"/>
      <c r="BP65" s="90"/>
      <c r="BQ65" s="90"/>
      <c r="BR65" s="90"/>
      <c r="BS65" s="90"/>
      <c r="BT65" s="90"/>
      <c r="BU65" s="90"/>
      <c r="IR65" s="10">
        <f t="shared" si="3"/>
        <v>0</v>
      </c>
      <c r="IS65" s="10">
        <f t="shared" si="4"/>
        <v>0</v>
      </c>
    </row>
    <row r="66" spans="1:253" ht="12.75">
      <c r="A66" s="109" t="s">
        <v>49</v>
      </c>
      <c r="B66" s="110"/>
      <c r="C66" s="109" t="s">
        <v>172</v>
      </c>
      <c r="D66" s="110"/>
      <c r="E66" s="110"/>
      <c r="F66" s="109" t="s">
        <v>220</v>
      </c>
      <c r="G66" s="110"/>
      <c r="H66" s="110"/>
      <c r="I66" s="110"/>
      <c r="J66" s="110"/>
      <c r="K66" s="110"/>
      <c r="L66" s="109" t="s">
        <v>404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09" t="s">
        <v>557</v>
      </c>
      <c r="AZ66" s="110"/>
      <c r="BA66" s="89">
        <v>2</v>
      </c>
      <c r="BB66" s="90"/>
      <c r="BC66" s="90"/>
      <c r="BD66" s="90"/>
      <c r="BE66" s="90"/>
      <c r="BF66" s="94"/>
      <c r="BG66" s="88"/>
      <c r="BH66" s="88"/>
      <c r="BI66" s="88"/>
      <c r="BJ66" s="88"/>
      <c r="BK66" s="88"/>
      <c r="BL66" s="88"/>
      <c r="BM66" s="88"/>
      <c r="BN66" s="89">
        <f t="shared" si="2"/>
        <v>0</v>
      </c>
      <c r="BO66" s="90"/>
      <c r="BP66" s="90"/>
      <c r="BQ66" s="90"/>
      <c r="BR66" s="90"/>
      <c r="BS66" s="90"/>
      <c r="BT66" s="90"/>
      <c r="BU66" s="90"/>
      <c r="IR66" s="10">
        <f t="shared" si="3"/>
        <v>0</v>
      </c>
      <c r="IS66" s="10">
        <f t="shared" si="4"/>
        <v>0</v>
      </c>
    </row>
    <row r="67" spans="1:253" ht="12.75">
      <c r="A67" s="109" t="s">
        <v>50</v>
      </c>
      <c r="B67" s="110"/>
      <c r="C67" s="109" t="s">
        <v>172</v>
      </c>
      <c r="D67" s="110"/>
      <c r="E67" s="110"/>
      <c r="F67" s="109" t="s">
        <v>221</v>
      </c>
      <c r="G67" s="110"/>
      <c r="H67" s="110"/>
      <c r="I67" s="110"/>
      <c r="J67" s="110"/>
      <c r="K67" s="110"/>
      <c r="L67" s="109" t="s">
        <v>405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09" t="s">
        <v>557</v>
      </c>
      <c r="AZ67" s="110"/>
      <c r="BA67" s="89">
        <v>2</v>
      </c>
      <c r="BB67" s="90"/>
      <c r="BC67" s="90"/>
      <c r="BD67" s="90"/>
      <c r="BE67" s="90"/>
      <c r="BF67" s="94"/>
      <c r="BG67" s="88"/>
      <c r="BH67" s="88"/>
      <c r="BI67" s="88"/>
      <c r="BJ67" s="88"/>
      <c r="BK67" s="88"/>
      <c r="BL67" s="88"/>
      <c r="BM67" s="88"/>
      <c r="BN67" s="89">
        <f t="shared" si="2"/>
        <v>0</v>
      </c>
      <c r="BO67" s="90"/>
      <c r="BP67" s="90"/>
      <c r="BQ67" s="90"/>
      <c r="BR67" s="90"/>
      <c r="BS67" s="90"/>
      <c r="BT67" s="90"/>
      <c r="BU67" s="90"/>
      <c r="IR67" s="10">
        <f t="shared" si="3"/>
        <v>0</v>
      </c>
      <c r="IS67" s="10">
        <f t="shared" si="4"/>
        <v>0</v>
      </c>
    </row>
    <row r="68" spans="1:253" ht="12.75">
      <c r="A68" s="109" t="s">
        <v>51</v>
      </c>
      <c r="B68" s="110"/>
      <c r="C68" s="109" t="s">
        <v>172</v>
      </c>
      <c r="D68" s="110"/>
      <c r="E68" s="110"/>
      <c r="F68" s="109" t="s">
        <v>222</v>
      </c>
      <c r="G68" s="110"/>
      <c r="H68" s="110"/>
      <c r="I68" s="110"/>
      <c r="J68" s="110"/>
      <c r="K68" s="110"/>
      <c r="L68" s="109" t="s">
        <v>406</v>
      </c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09" t="s">
        <v>555</v>
      </c>
      <c r="AZ68" s="110"/>
      <c r="BA68" s="89">
        <v>2</v>
      </c>
      <c r="BB68" s="90"/>
      <c r="BC68" s="90"/>
      <c r="BD68" s="90"/>
      <c r="BE68" s="90"/>
      <c r="BF68" s="94"/>
      <c r="BG68" s="88"/>
      <c r="BH68" s="88"/>
      <c r="BI68" s="88"/>
      <c r="BJ68" s="88"/>
      <c r="BK68" s="88"/>
      <c r="BL68" s="88"/>
      <c r="BM68" s="88"/>
      <c r="BN68" s="89">
        <f t="shared" si="2"/>
        <v>0</v>
      </c>
      <c r="BO68" s="90"/>
      <c r="BP68" s="90"/>
      <c r="BQ68" s="90"/>
      <c r="BR68" s="90"/>
      <c r="BS68" s="90"/>
      <c r="BT68" s="90"/>
      <c r="BU68" s="90"/>
      <c r="IR68" s="10">
        <f t="shared" si="3"/>
        <v>0</v>
      </c>
      <c r="IS68" s="10">
        <f t="shared" si="4"/>
        <v>0</v>
      </c>
    </row>
    <row r="69" spans="1:253" ht="12.75">
      <c r="A69" s="109" t="s">
        <v>52</v>
      </c>
      <c r="B69" s="110"/>
      <c r="C69" s="109" t="s">
        <v>172</v>
      </c>
      <c r="D69" s="110"/>
      <c r="E69" s="110"/>
      <c r="F69" s="109" t="s">
        <v>223</v>
      </c>
      <c r="G69" s="110"/>
      <c r="H69" s="110"/>
      <c r="I69" s="110"/>
      <c r="J69" s="110"/>
      <c r="K69" s="110"/>
      <c r="L69" s="109" t="s">
        <v>407</v>
      </c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09" t="s">
        <v>555</v>
      </c>
      <c r="AZ69" s="110"/>
      <c r="BA69" s="89">
        <v>4</v>
      </c>
      <c r="BB69" s="90"/>
      <c r="BC69" s="90"/>
      <c r="BD69" s="90"/>
      <c r="BE69" s="90"/>
      <c r="BF69" s="94"/>
      <c r="BG69" s="88"/>
      <c r="BH69" s="88"/>
      <c r="BI69" s="88"/>
      <c r="BJ69" s="88"/>
      <c r="BK69" s="88"/>
      <c r="BL69" s="88"/>
      <c r="BM69" s="88"/>
      <c r="BN69" s="89">
        <f t="shared" si="2"/>
        <v>0</v>
      </c>
      <c r="BO69" s="90"/>
      <c r="BP69" s="90"/>
      <c r="BQ69" s="90"/>
      <c r="BR69" s="90"/>
      <c r="BS69" s="90"/>
      <c r="BT69" s="90"/>
      <c r="BU69" s="90"/>
      <c r="IR69" s="10">
        <f t="shared" si="3"/>
        <v>0</v>
      </c>
      <c r="IS69" s="10">
        <f t="shared" si="4"/>
        <v>0</v>
      </c>
    </row>
    <row r="70" spans="1:253" ht="12.75">
      <c r="A70" s="109" t="s">
        <v>53</v>
      </c>
      <c r="B70" s="110"/>
      <c r="C70" s="109" t="s">
        <v>172</v>
      </c>
      <c r="D70" s="110"/>
      <c r="E70" s="110"/>
      <c r="F70" s="109" t="s">
        <v>224</v>
      </c>
      <c r="G70" s="110"/>
      <c r="H70" s="110"/>
      <c r="I70" s="110"/>
      <c r="J70" s="110"/>
      <c r="K70" s="110"/>
      <c r="L70" s="109" t="s">
        <v>408</v>
      </c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09" t="s">
        <v>555</v>
      </c>
      <c r="AZ70" s="110"/>
      <c r="BA70" s="89">
        <v>6</v>
      </c>
      <c r="BB70" s="90"/>
      <c r="BC70" s="90"/>
      <c r="BD70" s="90"/>
      <c r="BE70" s="90"/>
      <c r="BF70" s="94"/>
      <c r="BG70" s="88"/>
      <c r="BH70" s="88"/>
      <c r="BI70" s="88"/>
      <c r="BJ70" s="88"/>
      <c r="BK70" s="88"/>
      <c r="BL70" s="88"/>
      <c r="BM70" s="88"/>
      <c r="BN70" s="89">
        <f t="shared" si="2"/>
        <v>0</v>
      </c>
      <c r="BO70" s="90"/>
      <c r="BP70" s="90"/>
      <c r="BQ70" s="90"/>
      <c r="BR70" s="90"/>
      <c r="BS70" s="90"/>
      <c r="BT70" s="90"/>
      <c r="BU70" s="90"/>
      <c r="IR70" s="10">
        <f t="shared" si="3"/>
        <v>0</v>
      </c>
      <c r="IS70" s="10">
        <f t="shared" si="4"/>
        <v>0</v>
      </c>
    </row>
    <row r="71" spans="1:253" ht="12.75">
      <c r="A71" s="109" t="s">
        <v>54</v>
      </c>
      <c r="B71" s="110"/>
      <c r="C71" s="109" t="s">
        <v>172</v>
      </c>
      <c r="D71" s="110"/>
      <c r="E71" s="110"/>
      <c r="F71" s="109" t="s">
        <v>225</v>
      </c>
      <c r="G71" s="110"/>
      <c r="H71" s="110"/>
      <c r="I71" s="110"/>
      <c r="J71" s="110"/>
      <c r="K71" s="110"/>
      <c r="L71" s="109" t="s">
        <v>409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09" t="s">
        <v>555</v>
      </c>
      <c r="AZ71" s="110"/>
      <c r="BA71" s="89">
        <v>4</v>
      </c>
      <c r="BB71" s="90"/>
      <c r="BC71" s="90"/>
      <c r="BD71" s="90"/>
      <c r="BE71" s="90"/>
      <c r="BF71" s="94"/>
      <c r="BG71" s="88"/>
      <c r="BH71" s="88"/>
      <c r="BI71" s="88"/>
      <c r="BJ71" s="88"/>
      <c r="BK71" s="88"/>
      <c r="BL71" s="88"/>
      <c r="BM71" s="88"/>
      <c r="BN71" s="89">
        <f t="shared" si="2"/>
        <v>0</v>
      </c>
      <c r="BO71" s="90"/>
      <c r="BP71" s="90"/>
      <c r="BQ71" s="90"/>
      <c r="BR71" s="90"/>
      <c r="BS71" s="90"/>
      <c r="BT71" s="90"/>
      <c r="BU71" s="90"/>
      <c r="IR71" s="10">
        <f t="shared" si="3"/>
        <v>0</v>
      </c>
      <c r="IS71" s="10">
        <f t="shared" si="4"/>
        <v>0</v>
      </c>
    </row>
    <row r="72" spans="1:73" ht="12.75">
      <c r="A72" s="102" t="s">
        <v>6</v>
      </c>
      <c r="B72" s="103"/>
      <c r="C72" s="102" t="s">
        <v>6</v>
      </c>
      <c r="D72" s="103"/>
      <c r="E72" s="103"/>
      <c r="F72" s="102" t="s">
        <v>226</v>
      </c>
      <c r="G72" s="103"/>
      <c r="H72" s="103"/>
      <c r="I72" s="103"/>
      <c r="J72" s="103"/>
      <c r="K72" s="103"/>
      <c r="L72" s="102" t="s">
        <v>410</v>
      </c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2" t="s">
        <v>6</v>
      </c>
      <c r="AZ72" s="103"/>
      <c r="BA72" s="104" t="s">
        <v>6</v>
      </c>
      <c r="BB72" s="105"/>
      <c r="BC72" s="105"/>
      <c r="BD72" s="105"/>
      <c r="BE72" s="105"/>
      <c r="BF72" s="106" t="s">
        <v>6</v>
      </c>
      <c r="BG72" s="105"/>
      <c r="BH72" s="105"/>
      <c r="BI72" s="105"/>
      <c r="BJ72" s="105"/>
      <c r="BK72" s="105"/>
      <c r="BL72" s="105"/>
      <c r="BM72" s="105"/>
      <c r="BN72" s="111">
        <f>SUM(BN73:BN77)</f>
        <v>0</v>
      </c>
      <c r="BO72" s="105"/>
      <c r="BP72" s="105"/>
      <c r="BQ72" s="105"/>
      <c r="BR72" s="105"/>
      <c r="BS72" s="105"/>
      <c r="BT72" s="105"/>
      <c r="BU72" s="105"/>
    </row>
    <row r="73" spans="1:253" ht="12.75">
      <c r="A73" s="109" t="s">
        <v>55</v>
      </c>
      <c r="B73" s="110"/>
      <c r="C73" s="109" t="s">
        <v>172</v>
      </c>
      <c r="D73" s="110"/>
      <c r="E73" s="110"/>
      <c r="F73" s="109" t="s">
        <v>227</v>
      </c>
      <c r="G73" s="110"/>
      <c r="H73" s="110"/>
      <c r="I73" s="110"/>
      <c r="J73" s="110"/>
      <c r="K73" s="110"/>
      <c r="L73" s="109" t="s">
        <v>411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09" t="s">
        <v>554</v>
      </c>
      <c r="AZ73" s="110"/>
      <c r="BA73" s="89">
        <v>641.45</v>
      </c>
      <c r="BB73" s="90"/>
      <c r="BC73" s="90"/>
      <c r="BD73" s="90"/>
      <c r="BE73" s="90"/>
      <c r="BF73" s="94"/>
      <c r="BG73" s="88"/>
      <c r="BH73" s="88"/>
      <c r="BI73" s="88"/>
      <c r="BJ73" s="88"/>
      <c r="BK73" s="88"/>
      <c r="BL73" s="88"/>
      <c r="BM73" s="88"/>
      <c r="BN73" s="89">
        <f>IR73*BA73+IS73*BA73</f>
        <v>0</v>
      </c>
      <c r="BO73" s="90"/>
      <c r="BP73" s="90"/>
      <c r="BQ73" s="90"/>
      <c r="BR73" s="90"/>
      <c r="BS73" s="90"/>
      <c r="BT73" s="90"/>
      <c r="BU73" s="90"/>
      <c r="IR73" s="10">
        <f>BF73*0.559670781893004</f>
        <v>0</v>
      </c>
      <c r="IS73" s="10">
        <f>BF73*(1-0.559670781893004)</f>
        <v>0</v>
      </c>
    </row>
    <row r="74" spans="1:253" ht="12.75">
      <c r="A74" s="109" t="s">
        <v>56</v>
      </c>
      <c r="B74" s="110"/>
      <c r="C74" s="109" t="s">
        <v>172</v>
      </c>
      <c r="D74" s="110"/>
      <c r="E74" s="110"/>
      <c r="F74" s="109" t="s">
        <v>228</v>
      </c>
      <c r="G74" s="110"/>
      <c r="H74" s="110"/>
      <c r="I74" s="110"/>
      <c r="J74" s="110"/>
      <c r="K74" s="110"/>
      <c r="L74" s="109" t="s">
        <v>412</v>
      </c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09" t="s">
        <v>554</v>
      </c>
      <c r="AZ74" s="110"/>
      <c r="BA74" s="89">
        <v>16.18</v>
      </c>
      <c r="BB74" s="90"/>
      <c r="BC74" s="90"/>
      <c r="BD74" s="90"/>
      <c r="BE74" s="90"/>
      <c r="BF74" s="94"/>
      <c r="BG74" s="88"/>
      <c r="BH74" s="88"/>
      <c r="BI74" s="88"/>
      <c r="BJ74" s="88"/>
      <c r="BK74" s="88"/>
      <c r="BL74" s="88"/>
      <c r="BM74" s="88"/>
      <c r="BN74" s="89">
        <f>IR74*BA74+IS74*BA74</f>
        <v>0</v>
      </c>
      <c r="BO74" s="90"/>
      <c r="BP74" s="90"/>
      <c r="BQ74" s="90"/>
      <c r="BR74" s="90"/>
      <c r="BS74" s="90"/>
      <c r="BT74" s="90"/>
      <c r="BU74" s="90"/>
      <c r="IR74" s="10">
        <f>BF74*0.495161290322581</f>
        <v>0</v>
      </c>
      <c r="IS74" s="10">
        <f>BF74*(1-0.495161290322581)</f>
        <v>0</v>
      </c>
    </row>
    <row r="75" spans="1:253" ht="12.75">
      <c r="A75" s="109" t="s">
        <v>57</v>
      </c>
      <c r="B75" s="110"/>
      <c r="C75" s="109" t="s">
        <v>172</v>
      </c>
      <c r="D75" s="110"/>
      <c r="E75" s="110"/>
      <c r="F75" s="109" t="s">
        <v>229</v>
      </c>
      <c r="G75" s="110"/>
      <c r="H75" s="110"/>
      <c r="I75" s="110"/>
      <c r="J75" s="110"/>
      <c r="K75" s="110"/>
      <c r="L75" s="109" t="s">
        <v>413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09" t="s">
        <v>554</v>
      </c>
      <c r="AZ75" s="110"/>
      <c r="BA75" s="89">
        <v>641.45</v>
      </c>
      <c r="BB75" s="90"/>
      <c r="BC75" s="90"/>
      <c r="BD75" s="90"/>
      <c r="BE75" s="90"/>
      <c r="BF75" s="94"/>
      <c r="BG75" s="88"/>
      <c r="BH75" s="88"/>
      <c r="BI75" s="88"/>
      <c r="BJ75" s="88"/>
      <c r="BK75" s="88"/>
      <c r="BL75" s="88"/>
      <c r="BM75" s="88"/>
      <c r="BN75" s="89">
        <f>IR75*BA75+IS75*BA75</f>
        <v>0</v>
      </c>
      <c r="BO75" s="90"/>
      <c r="BP75" s="90"/>
      <c r="BQ75" s="90"/>
      <c r="BR75" s="90"/>
      <c r="BS75" s="90"/>
      <c r="BT75" s="90"/>
      <c r="BU75" s="90"/>
      <c r="IR75" s="10">
        <f>BF75*0.0820244328097731</f>
        <v>0</v>
      </c>
      <c r="IS75" s="10">
        <f>BF75*(1-0.0820244328097731)</f>
        <v>0</v>
      </c>
    </row>
    <row r="76" spans="1:253" ht="12.75">
      <c r="A76" s="109" t="s">
        <v>58</v>
      </c>
      <c r="B76" s="110"/>
      <c r="C76" s="109" t="s">
        <v>172</v>
      </c>
      <c r="D76" s="110"/>
      <c r="E76" s="110"/>
      <c r="F76" s="109" t="s">
        <v>230</v>
      </c>
      <c r="G76" s="110"/>
      <c r="H76" s="110"/>
      <c r="I76" s="110"/>
      <c r="J76" s="110"/>
      <c r="K76" s="110"/>
      <c r="L76" s="109" t="s">
        <v>414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09" t="s">
        <v>554</v>
      </c>
      <c r="AZ76" s="110"/>
      <c r="BA76" s="89">
        <v>16.18</v>
      </c>
      <c r="BB76" s="90"/>
      <c r="BC76" s="90"/>
      <c r="BD76" s="90"/>
      <c r="BE76" s="90"/>
      <c r="BF76" s="94"/>
      <c r="BG76" s="88"/>
      <c r="BH76" s="88"/>
      <c r="BI76" s="88"/>
      <c r="BJ76" s="88"/>
      <c r="BK76" s="88"/>
      <c r="BL76" s="88"/>
      <c r="BM76" s="88"/>
      <c r="BN76" s="89">
        <f>IR76*BA76+IS76*BA76</f>
        <v>0</v>
      </c>
      <c r="BO76" s="90"/>
      <c r="BP76" s="90"/>
      <c r="BQ76" s="90"/>
      <c r="BR76" s="90"/>
      <c r="BS76" s="90"/>
      <c r="BT76" s="90"/>
      <c r="BU76" s="90"/>
      <c r="IR76" s="10">
        <f>BF76*0.104608695652174</f>
        <v>0</v>
      </c>
      <c r="IS76" s="10">
        <f>BF76*(1-0.104608695652174)</f>
        <v>0</v>
      </c>
    </row>
    <row r="77" spans="1:253" ht="12.75">
      <c r="A77" s="109" t="s">
        <v>59</v>
      </c>
      <c r="B77" s="110"/>
      <c r="C77" s="109" t="s">
        <v>172</v>
      </c>
      <c r="D77" s="110"/>
      <c r="E77" s="110"/>
      <c r="F77" s="109" t="s">
        <v>231</v>
      </c>
      <c r="G77" s="110"/>
      <c r="H77" s="110"/>
      <c r="I77" s="110"/>
      <c r="J77" s="110"/>
      <c r="K77" s="110"/>
      <c r="L77" s="109" t="s">
        <v>415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09" t="s">
        <v>553</v>
      </c>
      <c r="AZ77" s="110"/>
      <c r="BA77" s="89">
        <v>0.49</v>
      </c>
      <c r="BB77" s="90"/>
      <c r="BC77" s="90"/>
      <c r="BD77" s="90"/>
      <c r="BE77" s="90"/>
      <c r="BF77" s="94"/>
      <c r="BG77" s="88"/>
      <c r="BH77" s="88"/>
      <c r="BI77" s="88"/>
      <c r="BJ77" s="88"/>
      <c r="BK77" s="88"/>
      <c r="BL77" s="88"/>
      <c r="BM77" s="88"/>
      <c r="BN77" s="89">
        <f>IR77*BA77+IS77*BA77</f>
        <v>0</v>
      </c>
      <c r="BO77" s="90"/>
      <c r="BP77" s="90"/>
      <c r="BQ77" s="90"/>
      <c r="BR77" s="90"/>
      <c r="BS77" s="90"/>
      <c r="BT77" s="90"/>
      <c r="BU77" s="90"/>
      <c r="IR77" s="10">
        <f>BF77*0</f>
        <v>0</v>
      </c>
      <c r="IS77" s="10">
        <f>BF77*(1-0)</f>
        <v>0</v>
      </c>
    </row>
    <row r="78" spans="1:73" ht="12.75">
      <c r="A78" s="102" t="s">
        <v>6</v>
      </c>
      <c r="B78" s="103"/>
      <c r="C78" s="102" t="s">
        <v>6</v>
      </c>
      <c r="D78" s="103"/>
      <c r="E78" s="103"/>
      <c r="F78" s="102" t="s">
        <v>232</v>
      </c>
      <c r="G78" s="103"/>
      <c r="H78" s="103"/>
      <c r="I78" s="103"/>
      <c r="J78" s="103"/>
      <c r="K78" s="103"/>
      <c r="L78" s="102" t="s">
        <v>416</v>
      </c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2" t="s">
        <v>6</v>
      </c>
      <c r="AZ78" s="103"/>
      <c r="BA78" s="104" t="s">
        <v>6</v>
      </c>
      <c r="BB78" s="105"/>
      <c r="BC78" s="105"/>
      <c r="BD78" s="105"/>
      <c r="BE78" s="105"/>
      <c r="BF78" s="106" t="s">
        <v>6</v>
      </c>
      <c r="BG78" s="105"/>
      <c r="BH78" s="105"/>
      <c r="BI78" s="105"/>
      <c r="BJ78" s="105"/>
      <c r="BK78" s="105"/>
      <c r="BL78" s="105"/>
      <c r="BM78" s="105"/>
      <c r="BN78" s="111">
        <f>SUM(BN79:BN80)</f>
        <v>0</v>
      </c>
      <c r="BO78" s="105"/>
      <c r="BP78" s="105"/>
      <c r="BQ78" s="105"/>
      <c r="BR78" s="105"/>
      <c r="BS78" s="105"/>
      <c r="BT78" s="105"/>
      <c r="BU78" s="105"/>
    </row>
    <row r="79" spans="1:253" ht="12.75">
      <c r="A79" s="109" t="s">
        <v>60</v>
      </c>
      <c r="B79" s="110"/>
      <c r="C79" s="109" t="s">
        <v>172</v>
      </c>
      <c r="D79" s="110"/>
      <c r="E79" s="110"/>
      <c r="F79" s="109" t="s">
        <v>233</v>
      </c>
      <c r="G79" s="110"/>
      <c r="H79" s="110"/>
      <c r="I79" s="110"/>
      <c r="J79" s="110"/>
      <c r="K79" s="110"/>
      <c r="L79" s="109" t="s">
        <v>417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09" t="s">
        <v>554</v>
      </c>
      <c r="AZ79" s="110"/>
      <c r="BA79" s="89">
        <v>80.35</v>
      </c>
      <c r="BB79" s="90"/>
      <c r="BC79" s="90"/>
      <c r="BD79" s="90"/>
      <c r="BE79" s="90"/>
      <c r="BF79" s="94"/>
      <c r="BG79" s="88"/>
      <c r="BH79" s="88"/>
      <c r="BI79" s="88"/>
      <c r="BJ79" s="88"/>
      <c r="BK79" s="88"/>
      <c r="BL79" s="88"/>
      <c r="BM79" s="88"/>
      <c r="BN79" s="89">
        <f>IR79*BA79+IS79*BA79</f>
        <v>0</v>
      </c>
      <c r="BO79" s="90"/>
      <c r="BP79" s="90"/>
      <c r="BQ79" s="90"/>
      <c r="BR79" s="90"/>
      <c r="BS79" s="90"/>
      <c r="BT79" s="90"/>
      <c r="BU79" s="90"/>
      <c r="IR79" s="10">
        <f>BF79*0</f>
        <v>0</v>
      </c>
      <c r="IS79" s="10">
        <f>BF79*(1-0)</f>
        <v>0</v>
      </c>
    </row>
    <row r="80" spans="1:253" ht="12.75">
      <c r="A80" s="109" t="s">
        <v>61</v>
      </c>
      <c r="B80" s="110"/>
      <c r="C80" s="109" t="s">
        <v>172</v>
      </c>
      <c r="D80" s="110"/>
      <c r="E80" s="110"/>
      <c r="F80" s="109" t="s">
        <v>234</v>
      </c>
      <c r="G80" s="110"/>
      <c r="H80" s="110"/>
      <c r="I80" s="110"/>
      <c r="J80" s="110"/>
      <c r="K80" s="110"/>
      <c r="L80" s="109" t="s">
        <v>418</v>
      </c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09" t="s">
        <v>553</v>
      </c>
      <c r="AZ80" s="110"/>
      <c r="BA80" s="89">
        <v>0.09</v>
      </c>
      <c r="BB80" s="90"/>
      <c r="BC80" s="90"/>
      <c r="BD80" s="90"/>
      <c r="BE80" s="90"/>
      <c r="BF80" s="94"/>
      <c r="BG80" s="88"/>
      <c r="BH80" s="88"/>
      <c r="BI80" s="88"/>
      <c r="BJ80" s="88"/>
      <c r="BK80" s="88"/>
      <c r="BL80" s="88"/>
      <c r="BM80" s="88"/>
      <c r="BN80" s="89">
        <f>IR80*BA80+IS80*BA80</f>
        <v>0</v>
      </c>
      <c r="BO80" s="90"/>
      <c r="BP80" s="90"/>
      <c r="BQ80" s="90"/>
      <c r="BR80" s="90"/>
      <c r="BS80" s="90"/>
      <c r="BT80" s="90"/>
      <c r="BU80" s="90"/>
      <c r="IR80" s="10">
        <f>BF80*0</f>
        <v>0</v>
      </c>
      <c r="IS80" s="10">
        <f>BF80*(1-0)</f>
        <v>0</v>
      </c>
    </row>
    <row r="81" spans="1:73" ht="12.75">
      <c r="A81" s="102" t="s">
        <v>6</v>
      </c>
      <c r="B81" s="103"/>
      <c r="C81" s="102" t="s">
        <v>6</v>
      </c>
      <c r="D81" s="103"/>
      <c r="E81" s="103"/>
      <c r="F81" s="102" t="s">
        <v>235</v>
      </c>
      <c r="G81" s="103"/>
      <c r="H81" s="103"/>
      <c r="I81" s="103"/>
      <c r="J81" s="103"/>
      <c r="K81" s="103"/>
      <c r="L81" s="102" t="s">
        <v>419</v>
      </c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2" t="s">
        <v>6</v>
      </c>
      <c r="AZ81" s="103"/>
      <c r="BA81" s="104" t="s">
        <v>6</v>
      </c>
      <c r="BB81" s="105"/>
      <c r="BC81" s="105"/>
      <c r="BD81" s="105"/>
      <c r="BE81" s="105"/>
      <c r="BF81" s="106" t="s">
        <v>6</v>
      </c>
      <c r="BG81" s="105"/>
      <c r="BH81" s="105"/>
      <c r="BI81" s="105"/>
      <c r="BJ81" s="105"/>
      <c r="BK81" s="105"/>
      <c r="BL81" s="105"/>
      <c r="BM81" s="105"/>
      <c r="BN81" s="111">
        <f>SUM(BN82:BN85)</f>
        <v>0</v>
      </c>
      <c r="BO81" s="105"/>
      <c r="BP81" s="105"/>
      <c r="BQ81" s="105"/>
      <c r="BR81" s="105"/>
      <c r="BS81" s="105"/>
      <c r="BT81" s="105"/>
      <c r="BU81" s="105"/>
    </row>
    <row r="82" spans="1:253" ht="12.75">
      <c r="A82" s="109" t="s">
        <v>62</v>
      </c>
      <c r="B82" s="110"/>
      <c r="C82" s="109" t="s">
        <v>172</v>
      </c>
      <c r="D82" s="110"/>
      <c r="E82" s="110"/>
      <c r="F82" s="109" t="s">
        <v>236</v>
      </c>
      <c r="G82" s="110"/>
      <c r="H82" s="110"/>
      <c r="I82" s="110"/>
      <c r="J82" s="110"/>
      <c r="K82" s="110"/>
      <c r="L82" s="109" t="s">
        <v>732</v>
      </c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09" t="s">
        <v>556</v>
      </c>
      <c r="AZ82" s="110"/>
      <c r="BA82" s="89">
        <v>50.4</v>
      </c>
      <c r="BB82" s="90"/>
      <c r="BC82" s="90"/>
      <c r="BD82" s="90"/>
      <c r="BE82" s="90"/>
      <c r="BF82" s="94"/>
      <c r="BG82" s="88"/>
      <c r="BH82" s="88"/>
      <c r="BI82" s="88"/>
      <c r="BJ82" s="88"/>
      <c r="BK82" s="88"/>
      <c r="BL82" s="88"/>
      <c r="BM82" s="88"/>
      <c r="BN82" s="89">
        <f>IR82*BA82+IS82*BA82</f>
        <v>0</v>
      </c>
      <c r="BO82" s="90"/>
      <c r="BP82" s="90"/>
      <c r="BQ82" s="90"/>
      <c r="BR82" s="90"/>
      <c r="BS82" s="90"/>
      <c r="BT82" s="90"/>
      <c r="BU82" s="90"/>
      <c r="IR82" s="10">
        <f>BF82*0.860520894786217</f>
        <v>0</v>
      </c>
      <c r="IS82" s="10">
        <f>BF82*(1-0.860520894786217)</f>
        <v>0</v>
      </c>
    </row>
    <row r="83" spans="1:253" ht="12.75">
      <c r="A83" s="109" t="s">
        <v>63</v>
      </c>
      <c r="B83" s="110"/>
      <c r="C83" s="109" t="s">
        <v>172</v>
      </c>
      <c r="D83" s="110"/>
      <c r="E83" s="110"/>
      <c r="F83" s="109" t="s">
        <v>237</v>
      </c>
      <c r="G83" s="110"/>
      <c r="H83" s="110"/>
      <c r="I83" s="110"/>
      <c r="J83" s="110"/>
      <c r="K83" s="110"/>
      <c r="L83" s="109" t="s">
        <v>733</v>
      </c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09" t="s">
        <v>556</v>
      </c>
      <c r="AZ83" s="110"/>
      <c r="BA83" s="89">
        <v>73.08</v>
      </c>
      <c r="BB83" s="90"/>
      <c r="BC83" s="90"/>
      <c r="BD83" s="90"/>
      <c r="BE83" s="90"/>
      <c r="BF83" s="94"/>
      <c r="BG83" s="88"/>
      <c r="BH83" s="88"/>
      <c r="BI83" s="88"/>
      <c r="BJ83" s="88"/>
      <c r="BK83" s="88"/>
      <c r="BL83" s="88"/>
      <c r="BM83" s="88"/>
      <c r="BN83" s="89">
        <f>IR83*BA83+IS83*BA83</f>
        <v>0</v>
      </c>
      <c r="BO83" s="90"/>
      <c r="BP83" s="90"/>
      <c r="BQ83" s="90"/>
      <c r="BR83" s="90"/>
      <c r="BS83" s="90"/>
      <c r="BT83" s="90"/>
      <c r="BU83" s="90"/>
      <c r="IR83" s="10">
        <f>BF83*0.787797695262484</f>
        <v>0</v>
      </c>
      <c r="IS83" s="10">
        <f>BF83*(1-0.787797695262484)</f>
        <v>0</v>
      </c>
    </row>
    <row r="84" spans="1:253" ht="12.75">
      <c r="A84" s="109" t="s">
        <v>64</v>
      </c>
      <c r="B84" s="110"/>
      <c r="C84" s="109" t="s">
        <v>172</v>
      </c>
      <c r="D84" s="110"/>
      <c r="E84" s="110"/>
      <c r="F84" s="109" t="s">
        <v>238</v>
      </c>
      <c r="G84" s="110"/>
      <c r="H84" s="110"/>
      <c r="I84" s="110"/>
      <c r="J84" s="110"/>
      <c r="K84" s="110"/>
      <c r="L84" s="109" t="s">
        <v>731</v>
      </c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09" t="s">
        <v>555</v>
      </c>
      <c r="AZ84" s="110"/>
      <c r="BA84" s="89">
        <v>8</v>
      </c>
      <c r="BB84" s="90"/>
      <c r="BC84" s="90"/>
      <c r="BD84" s="90"/>
      <c r="BE84" s="90"/>
      <c r="BF84" s="94"/>
      <c r="BG84" s="88"/>
      <c r="BH84" s="88"/>
      <c r="BI84" s="88"/>
      <c r="BJ84" s="88"/>
      <c r="BK84" s="88"/>
      <c r="BL84" s="88"/>
      <c r="BM84" s="88"/>
      <c r="BN84" s="89">
        <f>IR84*BA84+IS84*BA84</f>
        <v>0</v>
      </c>
      <c r="BO84" s="90"/>
      <c r="BP84" s="90"/>
      <c r="BQ84" s="90"/>
      <c r="BR84" s="90"/>
      <c r="BS84" s="90"/>
      <c r="BT84" s="90"/>
      <c r="BU84" s="90"/>
      <c r="IR84" s="10">
        <f>BF84*0.741714285714286</f>
        <v>0</v>
      </c>
      <c r="IS84" s="10">
        <f>BF84*(1-0.741714285714286)</f>
        <v>0</v>
      </c>
    </row>
    <row r="85" spans="1:253" ht="12.75">
      <c r="A85" s="109" t="s">
        <v>65</v>
      </c>
      <c r="B85" s="110"/>
      <c r="C85" s="109" t="s">
        <v>172</v>
      </c>
      <c r="D85" s="110"/>
      <c r="E85" s="110"/>
      <c r="F85" s="109" t="s">
        <v>239</v>
      </c>
      <c r="G85" s="110"/>
      <c r="H85" s="110"/>
      <c r="I85" s="110"/>
      <c r="J85" s="110"/>
      <c r="K85" s="110"/>
      <c r="L85" s="109" t="s">
        <v>423</v>
      </c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09" t="s">
        <v>553</v>
      </c>
      <c r="AZ85" s="110"/>
      <c r="BA85" s="89">
        <v>0.38</v>
      </c>
      <c r="BB85" s="90"/>
      <c r="BC85" s="90"/>
      <c r="BD85" s="90"/>
      <c r="BE85" s="90"/>
      <c r="BF85" s="94"/>
      <c r="BG85" s="88"/>
      <c r="BH85" s="88"/>
      <c r="BI85" s="88"/>
      <c r="BJ85" s="88"/>
      <c r="BK85" s="88"/>
      <c r="BL85" s="88"/>
      <c r="BM85" s="88"/>
      <c r="BN85" s="89">
        <f>IR85*BA85+IS85*BA85</f>
        <v>0</v>
      </c>
      <c r="BO85" s="90"/>
      <c r="BP85" s="90"/>
      <c r="BQ85" s="90"/>
      <c r="BR85" s="90"/>
      <c r="BS85" s="90"/>
      <c r="BT85" s="90"/>
      <c r="BU85" s="90"/>
      <c r="IR85" s="10">
        <f>BF85*0</f>
        <v>0</v>
      </c>
      <c r="IS85" s="10">
        <f>BF85*(1-0)</f>
        <v>0</v>
      </c>
    </row>
    <row r="86" spans="1:73" ht="12.75">
      <c r="A86" s="102" t="s">
        <v>6</v>
      </c>
      <c r="B86" s="103"/>
      <c r="C86" s="102" t="s">
        <v>6</v>
      </c>
      <c r="D86" s="103"/>
      <c r="E86" s="103"/>
      <c r="F86" s="102" t="s">
        <v>240</v>
      </c>
      <c r="G86" s="103"/>
      <c r="H86" s="103"/>
      <c r="I86" s="103"/>
      <c r="J86" s="103"/>
      <c r="K86" s="103"/>
      <c r="L86" s="102" t="s">
        <v>424</v>
      </c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2" t="s">
        <v>6</v>
      </c>
      <c r="AZ86" s="103"/>
      <c r="BA86" s="104" t="s">
        <v>6</v>
      </c>
      <c r="BB86" s="105"/>
      <c r="BC86" s="105"/>
      <c r="BD86" s="105"/>
      <c r="BE86" s="105"/>
      <c r="BF86" s="106" t="s">
        <v>6</v>
      </c>
      <c r="BG86" s="105"/>
      <c r="BH86" s="105"/>
      <c r="BI86" s="105"/>
      <c r="BJ86" s="105"/>
      <c r="BK86" s="105"/>
      <c r="BL86" s="105"/>
      <c r="BM86" s="105"/>
      <c r="BN86" s="111">
        <f>SUM(BN87:BN89)</f>
        <v>0</v>
      </c>
      <c r="BO86" s="105"/>
      <c r="BP86" s="105"/>
      <c r="BQ86" s="105"/>
      <c r="BR86" s="105"/>
      <c r="BS86" s="105"/>
      <c r="BT86" s="105"/>
      <c r="BU86" s="105"/>
    </row>
    <row r="87" spans="1:253" ht="12.75">
      <c r="A87" s="109" t="s">
        <v>66</v>
      </c>
      <c r="B87" s="110"/>
      <c r="C87" s="109" t="s">
        <v>172</v>
      </c>
      <c r="D87" s="110"/>
      <c r="E87" s="110"/>
      <c r="F87" s="109" t="s">
        <v>241</v>
      </c>
      <c r="G87" s="110"/>
      <c r="H87" s="110"/>
      <c r="I87" s="110"/>
      <c r="J87" s="110"/>
      <c r="K87" s="110"/>
      <c r="L87" s="109" t="s">
        <v>425</v>
      </c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09" t="s">
        <v>558</v>
      </c>
      <c r="AZ87" s="110"/>
      <c r="BA87" s="89">
        <v>1</v>
      </c>
      <c r="BB87" s="90"/>
      <c r="BC87" s="90"/>
      <c r="BD87" s="90"/>
      <c r="BE87" s="90"/>
      <c r="BF87" s="94"/>
      <c r="BG87" s="88"/>
      <c r="BH87" s="88"/>
      <c r="BI87" s="88"/>
      <c r="BJ87" s="88"/>
      <c r="BK87" s="88"/>
      <c r="BL87" s="88"/>
      <c r="BM87" s="88"/>
      <c r="BN87" s="89">
        <f>IR87*BA87+IS87*BA87</f>
        <v>0</v>
      </c>
      <c r="BO87" s="90"/>
      <c r="BP87" s="90"/>
      <c r="BQ87" s="90"/>
      <c r="BR87" s="90"/>
      <c r="BS87" s="90"/>
      <c r="BT87" s="90"/>
      <c r="BU87" s="90"/>
      <c r="IR87" s="10">
        <f>BF87*1</f>
        <v>0</v>
      </c>
      <c r="IS87" s="10">
        <f>BF87*(1-1)</f>
        <v>0</v>
      </c>
    </row>
    <row r="88" spans="1:253" ht="12.75">
      <c r="A88" s="109" t="s">
        <v>67</v>
      </c>
      <c r="B88" s="110"/>
      <c r="C88" s="109" t="s">
        <v>172</v>
      </c>
      <c r="D88" s="110"/>
      <c r="E88" s="110"/>
      <c r="F88" s="109" t="s">
        <v>242</v>
      </c>
      <c r="G88" s="110"/>
      <c r="H88" s="110"/>
      <c r="I88" s="110"/>
      <c r="J88" s="110"/>
      <c r="K88" s="110"/>
      <c r="L88" s="109" t="s">
        <v>426</v>
      </c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09" t="s">
        <v>559</v>
      </c>
      <c r="AZ88" s="110"/>
      <c r="BA88" s="89">
        <v>49264.31</v>
      </c>
      <c r="BB88" s="90"/>
      <c r="BC88" s="90"/>
      <c r="BD88" s="90"/>
      <c r="BE88" s="90"/>
      <c r="BF88" s="94"/>
      <c r="BG88" s="88"/>
      <c r="BH88" s="88"/>
      <c r="BI88" s="88"/>
      <c r="BJ88" s="88"/>
      <c r="BK88" s="88"/>
      <c r="BL88" s="88"/>
      <c r="BM88" s="88"/>
      <c r="BN88" s="89">
        <f>IR88*BA88+IS88*BA88</f>
        <v>0</v>
      </c>
      <c r="BO88" s="90"/>
      <c r="BP88" s="90"/>
      <c r="BQ88" s="90"/>
      <c r="BR88" s="90"/>
      <c r="BS88" s="90"/>
      <c r="BT88" s="90"/>
      <c r="BU88" s="90"/>
      <c r="IR88" s="10">
        <f>BF88*0.150498832519635</f>
        <v>0</v>
      </c>
      <c r="IS88" s="10">
        <f>BF88*(1-0.150498832519635)</f>
        <v>0</v>
      </c>
    </row>
    <row r="89" spans="1:253" ht="12.75">
      <c r="A89" s="109" t="s">
        <v>68</v>
      </c>
      <c r="B89" s="110"/>
      <c r="C89" s="109" t="s">
        <v>172</v>
      </c>
      <c r="D89" s="110"/>
      <c r="E89" s="110"/>
      <c r="F89" s="109" t="s">
        <v>243</v>
      </c>
      <c r="G89" s="110"/>
      <c r="H89" s="110"/>
      <c r="I89" s="110"/>
      <c r="J89" s="110"/>
      <c r="K89" s="110"/>
      <c r="L89" s="109" t="s">
        <v>427</v>
      </c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09" t="s">
        <v>553</v>
      </c>
      <c r="AZ89" s="110"/>
      <c r="BA89" s="89">
        <v>0</v>
      </c>
      <c r="BB89" s="90"/>
      <c r="BC89" s="90"/>
      <c r="BD89" s="90"/>
      <c r="BE89" s="90"/>
      <c r="BF89" s="94"/>
      <c r="BG89" s="88"/>
      <c r="BH89" s="88"/>
      <c r="BI89" s="88"/>
      <c r="BJ89" s="88"/>
      <c r="BK89" s="88"/>
      <c r="BL89" s="88"/>
      <c r="BM89" s="88"/>
      <c r="BN89" s="89">
        <f>IR89*BA89+IS89*BA89</f>
        <v>0</v>
      </c>
      <c r="BO89" s="90"/>
      <c r="BP89" s="90"/>
      <c r="BQ89" s="90"/>
      <c r="BR89" s="90"/>
      <c r="BS89" s="90"/>
      <c r="BT89" s="90"/>
      <c r="BU89" s="90"/>
      <c r="IR89" s="10">
        <f>BF89*0</f>
        <v>0</v>
      </c>
      <c r="IS89" s="10">
        <f>BF89*(1-0)</f>
        <v>0</v>
      </c>
    </row>
    <row r="90" spans="1:73" ht="12.75">
      <c r="A90" s="102" t="s">
        <v>6</v>
      </c>
      <c r="B90" s="103"/>
      <c r="C90" s="102" t="s">
        <v>6</v>
      </c>
      <c r="D90" s="103"/>
      <c r="E90" s="103"/>
      <c r="F90" s="102" t="s">
        <v>244</v>
      </c>
      <c r="G90" s="103"/>
      <c r="H90" s="103"/>
      <c r="I90" s="103"/>
      <c r="J90" s="103"/>
      <c r="K90" s="103"/>
      <c r="L90" s="102" t="s">
        <v>428</v>
      </c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2" t="s">
        <v>6</v>
      </c>
      <c r="AZ90" s="103"/>
      <c r="BA90" s="104" t="s">
        <v>6</v>
      </c>
      <c r="BB90" s="105"/>
      <c r="BC90" s="105"/>
      <c r="BD90" s="105"/>
      <c r="BE90" s="105"/>
      <c r="BF90" s="106" t="s">
        <v>6</v>
      </c>
      <c r="BG90" s="105"/>
      <c r="BH90" s="105"/>
      <c r="BI90" s="105"/>
      <c r="BJ90" s="105"/>
      <c r="BK90" s="105"/>
      <c r="BL90" s="105"/>
      <c r="BM90" s="105"/>
      <c r="BN90" s="111">
        <f>SUM(BN91:BN92)</f>
        <v>0</v>
      </c>
      <c r="BO90" s="105"/>
      <c r="BP90" s="105"/>
      <c r="BQ90" s="105"/>
      <c r="BR90" s="105"/>
      <c r="BS90" s="105"/>
      <c r="BT90" s="105"/>
      <c r="BU90" s="105"/>
    </row>
    <row r="91" spans="1:253" ht="12.75">
      <c r="A91" s="109" t="s">
        <v>69</v>
      </c>
      <c r="B91" s="110"/>
      <c r="C91" s="109" t="s">
        <v>172</v>
      </c>
      <c r="D91" s="110"/>
      <c r="E91" s="110"/>
      <c r="F91" s="109" t="s">
        <v>245</v>
      </c>
      <c r="G91" s="110"/>
      <c r="H91" s="110"/>
      <c r="I91" s="110"/>
      <c r="J91" s="110"/>
      <c r="K91" s="110"/>
      <c r="L91" s="109" t="s">
        <v>429</v>
      </c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09" t="s">
        <v>554</v>
      </c>
      <c r="AZ91" s="110"/>
      <c r="BA91" s="89">
        <v>35.85</v>
      </c>
      <c r="BB91" s="90"/>
      <c r="BC91" s="90"/>
      <c r="BD91" s="90"/>
      <c r="BE91" s="90"/>
      <c r="BF91" s="94"/>
      <c r="BG91" s="88"/>
      <c r="BH91" s="88"/>
      <c r="BI91" s="88"/>
      <c r="BJ91" s="88"/>
      <c r="BK91" s="88"/>
      <c r="BL91" s="88"/>
      <c r="BM91" s="88"/>
      <c r="BN91" s="89">
        <f>IR91*BA91+IS91*BA91</f>
        <v>0</v>
      </c>
      <c r="BO91" s="90"/>
      <c r="BP91" s="90"/>
      <c r="BQ91" s="90"/>
      <c r="BR91" s="90"/>
      <c r="BS91" s="90"/>
      <c r="BT91" s="90"/>
      <c r="BU91" s="90"/>
      <c r="IR91" s="10">
        <f>BF91*0.146011470829219</f>
        <v>0</v>
      </c>
      <c r="IS91" s="10">
        <f>BF91*(1-0.146011470829219)</f>
        <v>0</v>
      </c>
    </row>
    <row r="92" spans="1:253" ht="12.75">
      <c r="A92" s="109" t="s">
        <v>70</v>
      </c>
      <c r="B92" s="110"/>
      <c r="C92" s="109" t="s">
        <v>172</v>
      </c>
      <c r="D92" s="110"/>
      <c r="E92" s="110"/>
      <c r="F92" s="109" t="s">
        <v>246</v>
      </c>
      <c r="G92" s="110"/>
      <c r="H92" s="110"/>
      <c r="I92" s="110"/>
      <c r="J92" s="110"/>
      <c r="K92" s="110"/>
      <c r="L92" s="109" t="s">
        <v>430</v>
      </c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09" t="s">
        <v>553</v>
      </c>
      <c r="AZ92" s="110"/>
      <c r="BA92" s="89">
        <v>0.1</v>
      </c>
      <c r="BB92" s="90"/>
      <c r="BC92" s="90"/>
      <c r="BD92" s="90"/>
      <c r="BE92" s="90"/>
      <c r="BF92" s="94"/>
      <c r="BG92" s="88"/>
      <c r="BH92" s="88"/>
      <c r="BI92" s="88"/>
      <c r="BJ92" s="88"/>
      <c r="BK92" s="88"/>
      <c r="BL92" s="88"/>
      <c r="BM92" s="88"/>
      <c r="BN92" s="89">
        <f>IR92*BA92+IS92*BA92</f>
        <v>0</v>
      </c>
      <c r="BO92" s="90"/>
      <c r="BP92" s="90"/>
      <c r="BQ92" s="90"/>
      <c r="BR92" s="90"/>
      <c r="BS92" s="90"/>
      <c r="BT92" s="90"/>
      <c r="BU92" s="90"/>
      <c r="IR92" s="10">
        <f>BF92*0</f>
        <v>0</v>
      </c>
      <c r="IS92" s="10">
        <f>BF92*(1-0)</f>
        <v>0</v>
      </c>
    </row>
    <row r="93" spans="1:73" ht="12.75">
      <c r="A93" s="102" t="s">
        <v>6</v>
      </c>
      <c r="B93" s="103"/>
      <c r="C93" s="102" t="s">
        <v>6</v>
      </c>
      <c r="D93" s="103"/>
      <c r="E93" s="103"/>
      <c r="F93" s="102" t="s">
        <v>247</v>
      </c>
      <c r="G93" s="103"/>
      <c r="H93" s="103"/>
      <c r="I93" s="103"/>
      <c r="J93" s="103"/>
      <c r="K93" s="103"/>
      <c r="L93" s="102" t="s">
        <v>431</v>
      </c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2" t="s">
        <v>6</v>
      </c>
      <c r="AZ93" s="103"/>
      <c r="BA93" s="104" t="s">
        <v>6</v>
      </c>
      <c r="BB93" s="105"/>
      <c r="BC93" s="105"/>
      <c r="BD93" s="105"/>
      <c r="BE93" s="105"/>
      <c r="BF93" s="106" t="s">
        <v>6</v>
      </c>
      <c r="BG93" s="105"/>
      <c r="BH93" s="105"/>
      <c r="BI93" s="105"/>
      <c r="BJ93" s="105"/>
      <c r="BK93" s="105"/>
      <c r="BL93" s="105"/>
      <c r="BM93" s="105"/>
      <c r="BN93" s="111">
        <f>SUM(BN94:BN95)</f>
        <v>0</v>
      </c>
      <c r="BO93" s="105"/>
      <c r="BP93" s="105"/>
      <c r="BQ93" s="105"/>
      <c r="BR93" s="105"/>
      <c r="BS93" s="105"/>
      <c r="BT93" s="105"/>
      <c r="BU93" s="105"/>
    </row>
    <row r="94" spans="1:253" ht="12.75">
      <c r="A94" s="109" t="s">
        <v>71</v>
      </c>
      <c r="B94" s="110"/>
      <c r="C94" s="109" t="s">
        <v>172</v>
      </c>
      <c r="D94" s="110"/>
      <c r="E94" s="110"/>
      <c r="F94" s="109" t="s">
        <v>248</v>
      </c>
      <c r="G94" s="110"/>
      <c r="H94" s="110"/>
      <c r="I94" s="110"/>
      <c r="J94" s="110"/>
      <c r="K94" s="110"/>
      <c r="L94" s="109" t="s">
        <v>734</v>
      </c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09" t="s">
        <v>554</v>
      </c>
      <c r="AZ94" s="110"/>
      <c r="BA94" s="89">
        <v>666.12</v>
      </c>
      <c r="BB94" s="90"/>
      <c r="BC94" s="90"/>
      <c r="BD94" s="90"/>
      <c r="BE94" s="90"/>
      <c r="BF94" s="94"/>
      <c r="BG94" s="88"/>
      <c r="BH94" s="88"/>
      <c r="BI94" s="88"/>
      <c r="BJ94" s="88"/>
      <c r="BK94" s="88"/>
      <c r="BL94" s="88"/>
      <c r="BM94" s="88"/>
      <c r="BN94" s="89">
        <f>IR94*BA94+IS94*BA94</f>
        <v>0</v>
      </c>
      <c r="BO94" s="90"/>
      <c r="BP94" s="90"/>
      <c r="BQ94" s="90"/>
      <c r="BR94" s="90"/>
      <c r="BS94" s="90"/>
      <c r="BT94" s="90"/>
      <c r="BU94" s="90"/>
      <c r="IR94" s="10">
        <f>BF94*0.195757575757576</f>
        <v>0</v>
      </c>
      <c r="IS94" s="10">
        <f>BF94*(1-0.195757575757576)</f>
        <v>0</v>
      </c>
    </row>
    <row r="95" spans="1:253" ht="12.75">
      <c r="A95" s="109" t="s">
        <v>72</v>
      </c>
      <c r="B95" s="110"/>
      <c r="C95" s="109" t="s">
        <v>172</v>
      </c>
      <c r="D95" s="110"/>
      <c r="E95" s="110"/>
      <c r="F95" s="109" t="s">
        <v>249</v>
      </c>
      <c r="G95" s="110"/>
      <c r="H95" s="110"/>
      <c r="I95" s="110"/>
      <c r="J95" s="110"/>
      <c r="K95" s="110"/>
      <c r="L95" s="109" t="s">
        <v>735</v>
      </c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09" t="s">
        <v>554</v>
      </c>
      <c r="AZ95" s="110"/>
      <c r="BA95" s="89">
        <v>666.12</v>
      </c>
      <c r="BB95" s="90"/>
      <c r="BC95" s="90"/>
      <c r="BD95" s="90"/>
      <c r="BE95" s="90"/>
      <c r="BF95" s="94"/>
      <c r="BG95" s="88"/>
      <c r="BH95" s="88"/>
      <c r="BI95" s="88"/>
      <c r="BJ95" s="88"/>
      <c r="BK95" s="88"/>
      <c r="BL95" s="88"/>
      <c r="BM95" s="88"/>
      <c r="BN95" s="89">
        <f>IR95*BA95+IS95*BA95</f>
        <v>0</v>
      </c>
      <c r="BO95" s="90"/>
      <c r="BP95" s="90"/>
      <c r="BQ95" s="90"/>
      <c r="BR95" s="90"/>
      <c r="BS95" s="90"/>
      <c r="BT95" s="90"/>
      <c r="BU95" s="90"/>
      <c r="IR95" s="10">
        <f>BF95*0.11468253968254</f>
        <v>0</v>
      </c>
      <c r="IS95" s="10">
        <f>BF95*(1-0.11468253968254)</f>
        <v>0</v>
      </c>
    </row>
    <row r="96" spans="1:73" ht="12.75">
      <c r="A96" s="102" t="s">
        <v>6</v>
      </c>
      <c r="B96" s="103"/>
      <c r="C96" s="102" t="s">
        <v>6</v>
      </c>
      <c r="D96" s="103"/>
      <c r="E96" s="103"/>
      <c r="F96" s="102" t="s">
        <v>100</v>
      </c>
      <c r="G96" s="103"/>
      <c r="H96" s="103"/>
      <c r="I96" s="103"/>
      <c r="J96" s="103"/>
      <c r="K96" s="103"/>
      <c r="L96" s="102" t="s">
        <v>434</v>
      </c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2" t="s">
        <v>6</v>
      </c>
      <c r="AZ96" s="103"/>
      <c r="BA96" s="104" t="s">
        <v>6</v>
      </c>
      <c r="BB96" s="105"/>
      <c r="BC96" s="105"/>
      <c r="BD96" s="105"/>
      <c r="BE96" s="105"/>
      <c r="BF96" s="106" t="s">
        <v>6</v>
      </c>
      <c r="BG96" s="105"/>
      <c r="BH96" s="105"/>
      <c r="BI96" s="105"/>
      <c r="BJ96" s="105"/>
      <c r="BK96" s="105"/>
      <c r="BL96" s="105"/>
      <c r="BM96" s="105"/>
      <c r="BN96" s="111">
        <f>SUM(BN97:BN100)</f>
        <v>0</v>
      </c>
      <c r="BO96" s="105"/>
      <c r="BP96" s="105"/>
      <c r="BQ96" s="105"/>
      <c r="BR96" s="105"/>
      <c r="BS96" s="105"/>
      <c r="BT96" s="105"/>
      <c r="BU96" s="105"/>
    </row>
    <row r="97" spans="1:253" ht="12.75">
      <c r="A97" s="109" t="s">
        <v>73</v>
      </c>
      <c r="B97" s="110"/>
      <c r="C97" s="109" t="s">
        <v>172</v>
      </c>
      <c r="D97" s="110"/>
      <c r="E97" s="110"/>
      <c r="F97" s="109" t="s">
        <v>250</v>
      </c>
      <c r="G97" s="110"/>
      <c r="H97" s="110"/>
      <c r="I97" s="110"/>
      <c r="J97" s="110"/>
      <c r="K97" s="110"/>
      <c r="L97" s="109" t="s">
        <v>435</v>
      </c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09" t="s">
        <v>554</v>
      </c>
      <c r="AZ97" s="110"/>
      <c r="BA97" s="89">
        <v>634.4</v>
      </c>
      <c r="BB97" s="90"/>
      <c r="BC97" s="90"/>
      <c r="BD97" s="90"/>
      <c r="BE97" s="90"/>
      <c r="BF97" s="94"/>
      <c r="BG97" s="88"/>
      <c r="BH97" s="88"/>
      <c r="BI97" s="88"/>
      <c r="BJ97" s="88"/>
      <c r="BK97" s="88"/>
      <c r="BL97" s="88"/>
      <c r="BM97" s="88"/>
      <c r="BN97" s="89">
        <f>IR97*BA97+IS97*BA97</f>
        <v>0</v>
      </c>
      <c r="BO97" s="90"/>
      <c r="BP97" s="90"/>
      <c r="BQ97" s="90"/>
      <c r="BR97" s="90"/>
      <c r="BS97" s="90"/>
      <c r="BT97" s="90"/>
      <c r="BU97" s="90"/>
      <c r="IR97" s="10">
        <f>BF97*0.392365145228216</f>
        <v>0</v>
      </c>
      <c r="IS97" s="10">
        <f>BF97*(1-0.392365145228216)</f>
        <v>0</v>
      </c>
    </row>
    <row r="98" spans="1:253" ht="12.75">
      <c r="A98" s="109" t="s">
        <v>74</v>
      </c>
      <c r="B98" s="110"/>
      <c r="C98" s="109" t="s">
        <v>172</v>
      </c>
      <c r="D98" s="110"/>
      <c r="E98" s="110"/>
      <c r="F98" s="109" t="s">
        <v>251</v>
      </c>
      <c r="G98" s="110"/>
      <c r="H98" s="110"/>
      <c r="I98" s="110"/>
      <c r="J98" s="110"/>
      <c r="K98" s="110"/>
      <c r="L98" s="109" t="s">
        <v>436</v>
      </c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09" t="s">
        <v>554</v>
      </c>
      <c r="AZ98" s="110"/>
      <c r="BA98" s="89">
        <v>669.32</v>
      </c>
      <c r="BB98" s="90"/>
      <c r="BC98" s="90"/>
      <c r="BD98" s="90"/>
      <c r="BE98" s="90"/>
      <c r="BF98" s="94"/>
      <c r="BG98" s="88"/>
      <c r="BH98" s="88"/>
      <c r="BI98" s="88"/>
      <c r="BJ98" s="88"/>
      <c r="BK98" s="88"/>
      <c r="BL98" s="88"/>
      <c r="BM98" s="88"/>
      <c r="BN98" s="89">
        <f>IR98*BA98+IS98*BA98</f>
        <v>0</v>
      </c>
      <c r="BO98" s="90"/>
      <c r="BP98" s="90"/>
      <c r="BQ98" s="90"/>
      <c r="BR98" s="90"/>
      <c r="BS98" s="90"/>
      <c r="BT98" s="90"/>
      <c r="BU98" s="90"/>
      <c r="IR98" s="10">
        <f>BF98*0.00056274620146314</f>
        <v>0</v>
      </c>
      <c r="IS98" s="10">
        <f>BF98*(1-0.00056274620146314)</f>
        <v>0</v>
      </c>
    </row>
    <row r="99" spans="1:253" ht="12.75">
      <c r="A99" s="109" t="s">
        <v>75</v>
      </c>
      <c r="B99" s="110"/>
      <c r="C99" s="109" t="s">
        <v>172</v>
      </c>
      <c r="D99" s="110"/>
      <c r="E99" s="110"/>
      <c r="F99" s="109" t="s">
        <v>252</v>
      </c>
      <c r="G99" s="110"/>
      <c r="H99" s="110"/>
      <c r="I99" s="110"/>
      <c r="J99" s="110"/>
      <c r="K99" s="110"/>
      <c r="L99" s="109" t="s">
        <v>437</v>
      </c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09" t="s">
        <v>554</v>
      </c>
      <c r="AZ99" s="110"/>
      <c r="BA99" s="89">
        <v>2007.96</v>
      </c>
      <c r="BB99" s="90"/>
      <c r="BC99" s="90"/>
      <c r="BD99" s="90"/>
      <c r="BE99" s="90"/>
      <c r="BF99" s="94"/>
      <c r="BG99" s="88"/>
      <c r="BH99" s="88"/>
      <c r="BI99" s="88"/>
      <c r="BJ99" s="88"/>
      <c r="BK99" s="88"/>
      <c r="BL99" s="88"/>
      <c r="BM99" s="88"/>
      <c r="BN99" s="89">
        <f>IR99*BA99+IS99*BA99</f>
        <v>0</v>
      </c>
      <c r="BO99" s="90"/>
      <c r="BP99" s="90"/>
      <c r="BQ99" s="90"/>
      <c r="BR99" s="90"/>
      <c r="BS99" s="90"/>
      <c r="BT99" s="90"/>
      <c r="BU99" s="90"/>
      <c r="IR99" s="10">
        <f>BF99*0</f>
        <v>0</v>
      </c>
      <c r="IS99" s="10">
        <f>BF99*(1-0)</f>
        <v>0</v>
      </c>
    </row>
    <row r="100" spans="1:253" ht="12.75">
      <c r="A100" s="109" t="s">
        <v>76</v>
      </c>
      <c r="B100" s="110"/>
      <c r="C100" s="109" t="s">
        <v>172</v>
      </c>
      <c r="D100" s="110"/>
      <c r="E100" s="110"/>
      <c r="F100" s="109" t="s">
        <v>253</v>
      </c>
      <c r="G100" s="110"/>
      <c r="H100" s="110"/>
      <c r="I100" s="110"/>
      <c r="J100" s="110"/>
      <c r="K100" s="110"/>
      <c r="L100" s="109" t="s">
        <v>438</v>
      </c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09" t="s">
        <v>554</v>
      </c>
      <c r="AZ100" s="110"/>
      <c r="BA100" s="89">
        <v>669.32</v>
      </c>
      <c r="BB100" s="90"/>
      <c r="BC100" s="90"/>
      <c r="BD100" s="90"/>
      <c r="BE100" s="90"/>
      <c r="BF100" s="94"/>
      <c r="BG100" s="88"/>
      <c r="BH100" s="88"/>
      <c r="BI100" s="88"/>
      <c r="BJ100" s="88"/>
      <c r="BK100" s="88"/>
      <c r="BL100" s="88"/>
      <c r="BM100" s="88"/>
      <c r="BN100" s="89">
        <f>IR100*BA100+IS100*BA100</f>
        <v>0</v>
      </c>
      <c r="BO100" s="90"/>
      <c r="BP100" s="90"/>
      <c r="BQ100" s="90"/>
      <c r="BR100" s="90"/>
      <c r="BS100" s="90"/>
      <c r="BT100" s="90"/>
      <c r="BU100" s="90"/>
      <c r="IR100" s="10">
        <f>BF100*0</f>
        <v>0</v>
      </c>
      <c r="IS100" s="10">
        <f>BF100*(1-0)</f>
        <v>0</v>
      </c>
    </row>
    <row r="101" spans="1:73" ht="12.75">
      <c r="A101" s="102" t="s">
        <v>6</v>
      </c>
      <c r="B101" s="103"/>
      <c r="C101" s="102" t="s">
        <v>6</v>
      </c>
      <c r="D101" s="103"/>
      <c r="E101" s="103"/>
      <c r="F101" s="102" t="s">
        <v>101</v>
      </c>
      <c r="G101" s="103"/>
      <c r="H101" s="103"/>
      <c r="I101" s="103"/>
      <c r="J101" s="103"/>
      <c r="K101" s="103"/>
      <c r="L101" s="102" t="s">
        <v>439</v>
      </c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2" t="s">
        <v>6</v>
      </c>
      <c r="AZ101" s="103"/>
      <c r="BA101" s="104" t="s">
        <v>6</v>
      </c>
      <c r="BB101" s="105"/>
      <c r="BC101" s="105"/>
      <c r="BD101" s="105"/>
      <c r="BE101" s="105"/>
      <c r="BF101" s="106" t="s">
        <v>6</v>
      </c>
      <c r="BG101" s="105"/>
      <c r="BH101" s="105"/>
      <c r="BI101" s="105"/>
      <c r="BJ101" s="105"/>
      <c r="BK101" s="105"/>
      <c r="BL101" s="105"/>
      <c r="BM101" s="105"/>
      <c r="BN101" s="111">
        <f>SUM(BN102:BN105)</f>
        <v>0</v>
      </c>
      <c r="BO101" s="105"/>
      <c r="BP101" s="105"/>
      <c r="BQ101" s="105"/>
      <c r="BR101" s="105"/>
      <c r="BS101" s="105"/>
      <c r="BT101" s="105"/>
      <c r="BU101" s="105"/>
    </row>
    <row r="102" spans="1:253" ht="12.75">
      <c r="A102" s="109" t="s">
        <v>77</v>
      </c>
      <c r="B102" s="110"/>
      <c r="C102" s="109" t="s">
        <v>172</v>
      </c>
      <c r="D102" s="110"/>
      <c r="E102" s="110"/>
      <c r="F102" s="109" t="s">
        <v>254</v>
      </c>
      <c r="G102" s="110"/>
      <c r="H102" s="110"/>
      <c r="I102" s="110"/>
      <c r="J102" s="110"/>
      <c r="K102" s="110"/>
      <c r="L102" s="109" t="s">
        <v>440</v>
      </c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09" t="s">
        <v>554</v>
      </c>
      <c r="AZ102" s="110"/>
      <c r="BA102" s="89">
        <v>634.4</v>
      </c>
      <c r="BB102" s="90"/>
      <c r="BC102" s="90"/>
      <c r="BD102" s="90"/>
      <c r="BE102" s="90"/>
      <c r="BF102" s="94"/>
      <c r="BG102" s="88"/>
      <c r="BH102" s="88"/>
      <c r="BI102" s="88"/>
      <c r="BJ102" s="88"/>
      <c r="BK102" s="88"/>
      <c r="BL102" s="88"/>
      <c r="BM102" s="88"/>
      <c r="BN102" s="89">
        <f>IR102*BA102+IS102*BA102</f>
        <v>0</v>
      </c>
      <c r="BO102" s="90"/>
      <c r="BP102" s="90"/>
      <c r="BQ102" s="90"/>
      <c r="BR102" s="90"/>
      <c r="BS102" s="90"/>
      <c r="BT102" s="90"/>
      <c r="BU102" s="90"/>
      <c r="IR102" s="10">
        <f>BF102*0.0144264252313203</f>
        <v>0</v>
      </c>
      <c r="IS102" s="10">
        <f>BF102*(1-0.0144264252313203)</f>
        <v>0</v>
      </c>
    </row>
    <row r="103" spans="1:253" ht="12.75">
      <c r="A103" s="109" t="s">
        <v>78</v>
      </c>
      <c r="B103" s="110"/>
      <c r="C103" s="109" t="s">
        <v>172</v>
      </c>
      <c r="D103" s="110"/>
      <c r="E103" s="110"/>
      <c r="F103" s="109" t="s">
        <v>255</v>
      </c>
      <c r="G103" s="110"/>
      <c r="H103" s="110"/>
      <c r="I103" s="110"/>
      <c r="J103" s="110"/>
      <c r="K103" s="110"/>
      <c r="L103" s="109" t="s">
        <v>441</v>
      </c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09" t="s">
        <v>555</v>
      </c>
      <c r="AZ103" s="110"/>
      <c r="BA103" s="89">
        <v>12</v>
      </c>
      <c r="BB103" s="90"/>
      <c r="BC103" s="90"/>
      <c r="BD103" s="90"/>
      <c r="BE103" s="90"/>
      <c r="BF103" s="94"/>
      <c r="BG103" s="88"/>
      <c r="BH103" s="88"/>
      <c r="BI103" s="88"/>
      <c r="BJ103" s="88"/>
      <c r="BK103" s="88"/>
      <c r="BL103" s="88"/>
      <c r="BM103" s="88"/>
      <c r="BN103" s="89">
        <f>IR103*BA103+IS103*BA103</f>
        <v>0</v>
      </c>
      <c r="BO103" s="90"/>
      <c r="BP103" s="90"/>
      <c r="BQ103" s="90"/>
      <c r="BR103" s="90"/>
      <c r="BS103" s="90"/>
      <c r="BT103" s="90"/>
      <c r="BU103" s="90"/>
      <c r="IR103" s="10">
        <f>BF103*0.63768115942029</f>
        <v>0</v>
      </c>
      <c r="IS103" s="10">
        <f>BF103*(1-0.63768115942029)</f>
        <v>0</v>
      </c>
    </row>
    <row r="104" spans="1:253" ht="12.75">
      <c r="A104" s="109" t="s">
        <v>79</v>
      </c>
      <c r="B104" s="110"/>
      <c r="C104" s="109" t="s">
        <v>172</v>
      </c>
      <c r="D104" s="110"/>
      <c r="E104" s="110"/>
      <c r="F104" s="109" t="s">
        <v>256</v>
      </c>
      <c r="G104" s="110"/>
      <c r="H104" s="110"/>
      <c r="I104" s="110"/>
      <c r="J104" s="110"/>
      <c r="K104" s="110"/>
      <c r="L104" s="109" t="s">
        <v>442</v>
      </c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09" t="s">
        <v>555</v>
      </c>
      <c r="AZ104" s="110"/>
      <c r="BA104" s="89">
        <v>1</v>
      </c>
      <c r="BB104" s="90"/>
      <c r="BC104" s="90"/>
      <c r="BD104" s="90"/>
      <c r="BE104" s="90"/>
      <c r="BF104" s="94"/>
      <c r="BG104" s="88"/>
      <c r="BH104" s="88"/>
      <c r="BI104" s="88"/>
      <c r="BJ104" s="88"/>
      <c r="BK104" s="88"/>
      <c r="BL104" s="88"/>
      <c r="BM104" s="88"/>
      <c r="BN104" s="89">
        <f>IR104*BA104+IS104*BA104</f>
        <v>0</v>
      </c>
      <c r="BO104" s="90"/>
      <c r="BP104" s="90"/>
      <c r="BQ104" s="90"/>
      <c r="BR104" s="90"/>
      <c r="BS104" s="90"/>
      <c r="BT104" s="90"/>
      <c r="BU104" s="90"/>
      <c r="IR104" s="10">
        <f>BF104*0.686274509803922</f>
        <v>0</v>
      </c>
      <c r="IS104" s="10">
        <f>BF104*(1-0.686274509803922)</f>
        <v>0</v>
      </c>
    </row>
    <row r="105" spans="1:253" ht="12.75">
      <c r="A105" s="109" t="s">
        <v>80</v>
      </c>
      <c r="B105" s="110"/>
      <c r="C105" s="109" t="s">
        <v>172</v>
      </c>
      <c r="D105" s="110"/>
      <c r="E105" s="110"/>
      <c r="F105" s="109" t="s">
        <v>257</v>
      </c>
      <c r="G105" s="110"/>
      <c r="H105" s="110"/>
      <c r="I105" s="110"/>
      <c r="J105" s="110"/>
      <c r="K105" s="110"/>
      <c r="L105" s="109" t="s">
        <v>443</v>
      </c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09" t="s">
        <v>558</v>
      </c>
      <c r="AZ105" s="110"/>
      <c r="BA105" s="89">
        <v>1</v>
      </c>
      <c r="BB105" s="90"/>
      <c r="BC105" s="90"/>
      <c r="BD105" s="90"/>
      <c r="BE105" s="90"/>
      <c r="BF105" s="94"/>
      <c r="BG105" s="88"/>
      <c r="BH105" s="88"/>
      <c r="BI105" s="88"/>
      <c r="BJ105" s="88"/>
      <c r="BK105" s="88"/>
      <c r="BL105" s="88"/>
      <c r="BM105" s="88"/>
      <c r="BN105" s="89">
        <f>IR105*BA105+IS105*BA105</f>
        <v>0</v>
      </c>
      <c r="BO105" s="90"/>
      <c r="BP105" s="90"/>
      <c r="BQ105" s="90"/>
      <c r="BR105" s="90"/>
      <c r="BS105" s="90"/>
      <c r="BT105" s="90"/>
      <c r="BU105" s="90"/>
      <c r="IR105" s="10">
        <f>BF105*0.652173913043478</f>
        <v>0</v>
      </c>
      <c r="IS105" s="10">
        <f>BF105*(1-0.652173913043478)</f>
        <v>0</v>
      </c>
    </row>
    <row r="106" spans="1:73" ht="12.75">
      <c r="A106" s="102" t="s">
        <v>6</v>
      </c>
      <c r="B106" s="103"/>
      <c r="C106" s="102" t="s">
        <v>6</v>
      </c>
      <c r="D106" s="103"/>
      <c r="E106" s="103"/>
      <c r="F106" s="102" t="s">
        <v>258</v>
      </c>
      <c r="G106" s="103"/>
      <c r="H106" s="103"/>
      <c r="I106" s="103"/>
      <c r="J106" s="103"/>
      <c r="K106" s="103"/>
      <c r="L106" s="102" t="s">
        <v>444</v>
      </c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2" t="s">
        <v>6</v>
      </c>
      <c r="AZ106" s="103"/>
      <c r="BA106" s="104" t="s">
        <v>6</v>
      </c>
      <c r="BB106" s="105"/>
      <c r="BC106" s="105"/>
      <c r="BD106" s="105"/>
      <c r="BE106" s="105"/>
      <c r="BF106" s="106" t="s">
        <v>6</v>
      </c>
      <c r="BG106" s="105"/>
      <c r="BH106" s="105"/>
      <c r="BI106" s="105"/>
      <c r="BJ106" s="105"/>
      <c r="BK106" s="105"/>
      <c r="BL106" s="105"/>
      <c r="BM106" s="105"/>
      <c r="BN106" s="111">
        <f>SUM(BN107:BN107)</f>
        <v>0</v>
      </c>
      <c r="BO106" s="105"/>
      <c r="BP106" s="105"/>
      <c r="BQ106" s="105"/>
      <c r="BR106" s="105"/>
      <c r="BS106" s="105"/>
      <c r="BT106" s="105"/>
      <c r="BU106" s="105"/>
    </row>
    <row r="107" spans="1:253" ht="12.75">
      <c r="A107" s="109" t="s">
        <v>81</v>
      </c>
      <c r="B107" s="110"/>
      <c r="C107" s="109" t="s">
        <v>172</v>
      </c>
      <c r="D107" s="110"/>
      <c r="E107" s="110"/>
      <c r="F107" s="109" t="s">
        <v>259</v>
      </c>
      <c r="G107" s="110"/>
      <c r="H107" s="110"/>
      <c r="I107" s="110"/>
      <c r="J107" s="110"/>
      <c r="K107" s="110"/>
      <c r="L107" s="109" t="s">
        <v>445</v>
      </c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09" t="s">
        <v>553</v>
      </c>
      <c r="AZ107" s="110"/>
      <c r="BA107" s="89">
        <v>915.52</v>
      </c>
      <c r="BB107" s="90"/>
      <c r="BC107" s="90"/>
      <c r="BD107" s="90"/>
      <c r="BE107" s="90"/>
      <c r="BF107" s="94"/>
      <c r="BG107" s="88"/>
      <c r="BH107" s="88"/>
      <c r="BI107" s="88"/>
      <c r="BJ107" s="88"/>
      <c r="BK107" s="88"/>
      <c r="BL107" s="88"/>
      <c r="BM107" s="88"/>
      <c r="BN107" s="89">
        <f>IR107*BA107+IS107*BA107</f>
        <v>0</v>
      </c>
      <c r="BO107" s="90"/>
      <c r="BP107" s="90"/>
      <c r="BQ107" s="90"/>
      <c r="BR107" s="90"/>
      <c r="BS107" s="90"/>
      <c r="BT107" s="90"/>
      <c r="BU107" s="90"/>
      <c r="IR107" s="10">
        <f>BF107*0</f>
        <v>0</v>
      </c>
      <c r="IS107" s="10">
        <f>BF107*(1-0)</f>
        <v>0</v>
      </c>
    </row>
    <row r="108" spans="1:73" ht="12.75">
      <c r="A108" s="102" t="s">
        <v>6</v>
      </c>
      <c r="B108" s="103"/>
      <c r="C108" s="102" t="s">
        <v>6</v>
      </c>
      <c r="D108" s="103"/>
      <c r="E108" s="103"/>
      <c r="F108" s="102" t="s">
        <v>260</v>
      </c>
      <c r="G108" s="103"/>
      <c r="H108" s="103"/>
      <c r="I108" s="103"/>
      <c r="J108" s="103"/>
      <c r="K108" s="103"/>
      <c r="L108" s="102" t="s">
        <v>446</v>
      </c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2" t="s">
        <v>6</v>
      </c>
      <c r="AZ108" s="103"/>
      <c r="BA108" s="104" t="s">
        <v>6</v>
      </c>
      <c r="BB108" s="105"/>
      <c r="BC108" s="105"/>
      <c r="BD108" s="105"/>
      <c r="BE108" s="105"/>
      <c r="BF108" s="106" t="s">
        <v>6</v>
      </c>
      <c r="BG108" s="105"/>
      <c r="BH108" s="105"/>
      <c r="BI108" s="105"/>
      <c r="BJ108" s="105"/>
      <c r="BK108" s="105"/>
      <c r="BL108" s="105"/>
      <c r="BM108" s="105"/>
      <c r="BN108" s="111">
        <f>SUM(BN109:BN109)</f>
        <v>0</v>
      </c>
      <c r="BO108" s="105"/>
      <c r="BP108" s="105"/>
      <c r="BQ108" s="105"/>
      <c r="BR108" s="105"/>
      <c r="BS108" s="105"/>
      <c r="BT108" s="105"/>
      <c r="BU108" s="105"/>
    </row>
    <row r="109" spans="1:253" ht="12.75">
      <c r="A109" s="109" t="s">
        <v>82</v>
      </c>
      <c r="B109" s="110"/>
      <c r="C109" s="109" t="s">
        <v>172</v>
      </c>
      <c r="D109" s="110"/>
      <c r="E109" s="110"/>
      <c r="F109" s="109" t="s">
        <v>261</v>
      </c>
      <c r="G109" s="110"/>
      <c r="H109" s="110"/>
      <c r="I109" s="110"/>
      <c r="J109" s="110"/>
      <c r="K109" s="110"/>
      <c r="L109" s="109" t="s">
        <v>447</v>
      </c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09" t="s">
        <v>556</v>
      </c>
      <c r="AZ109" s="110"/>
      <c r="BA109" s="89">
        <v>142.18</v>
      </c>
      <c r="BB109" s="90"/>
      <c r="BC109" s="90"/>
      <c r="BD109" s="90"/>
      <c r="BE109" s="90"/>
      <c r="BF109" s="94"/>
      <c r="BG109" s="88"/>
      <c r="BH109" s="88"/>
      <c r="BI109" s="88"/>
      <c r="BJ109" s="88"/>
      <c r="BK109" s="88"/>
      <c r="BL109" s="88"/>
      <c r="BM109" s="88"/>
      <c r="BN109" s="89">
        <f>IR109*BA109+IS109*BA109</f>
        <v>0</v>
      </c>
      <c r="BO109" s="90"/>
      <c r="BP109" s="90"/>
      <c r="BQ109" s="90"/>
      <c r="BR109" s="90"/>
      <c r="BS109" s="90"/>
      <c r="BT109" s="90"/>
      <c r="BU109" s="90"/>
      <c r="IR109" s="10">
        <f>BF109*0.19644563347984</f>
        <v>0</v>
      </c>
      <c r="IS109" s="10">
        <f>BF109*(1-0.19644563347984)</f>
        <v>0</v>
      </c>
    </row>
    <row r="110" spans="1:75" ht="12.75">
      <c r="A110" s="102" t="s">
        <v>6</v>
      </c>
      <c r="B110" s="103"/>
      <c r="C110" s="102" t="s">
        <v>6</v>
      </c>
      <c r="D110" s="103"/>
      <c r="E110" s="103"/>
      <c r="F110" s="102" t="s">
        <v>262</v>
      </c>
      <c r="G110" s="103"/>
      <c r="H110" s="103"/>
      <c r="I110" s="103"/>
      <c r="J110" s="103"/>
      <c r="K110" s="103"/>
      <c r="L110" s="102" t="s">
        <v>448</v>
      </c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2" t="s">
        <v>6</v>
      </c>
      <c r="AZ110" s="103"/>
      <c r="BA110" s="104" t="s">
        <v>6</v>
      </c>
      <c r="BB110" s="105"/>
      <c r="BC110" s="105"/>
      <c r="BD110" s="105"/>
      <c r="BE110" s="105"/>
      <c r="BF110" s="106" t="s">
        <v>6</v>
      </c>
      <c r="BG110" s="105"/>
      <c r="BH110" s="105"/>
      <c r="BI110" s="105"/>
      <c r="BJ110" s="105"/>
      <c r="BK110" s="105"/>
      <c r="BL110" s="105"/>
      <c r="BM110" s="105"/>
      <c r="BN110" s="111">
        <f>SUM(BN111:BN111)</f>
        <v>0</v>
      </c>
      <c r="BO110" s="105"/>
      <c r="BP110" s="105"/>
      <c r="BQ110" s="105"/>
      <c r="BR110" s="105"/>
      <c r="BS110" s="105"/>
      <c r="BT110" s="105"/>
      <c r="BU110" s="105"/>
      <c r="BW110" s="83"/>
    </row>
    <row r="111" spans="1:253" ht="12.75">
      <c r="A111" s="109" t="s">
        <v>83</v>
      </c>
      <c r="B111" s="110"/>
      <c r="C111" s="109" t="s">
        <v>172</v>
      </c>
      <c r="D111" s="110"/>
      <c r="E111" s="110"/>
      <c r="F111" s="109" t="s">
        <v>263</v>
      </c>
      <c r="G111" s="110"/>
      <c r="H111" s="110"/>
      <c r="I111" s="110"/>
      <c r="J111" s="110"/>
      <c r="K111" s="110"/>
      <c r="L111" s="109" t="s">
        <v>449</v>
      </c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09" t="s">
        <v>555</v>
      </c>
      <c r="AZ111" s="110"/>
      <c r="BA111" s="89">
        <v>11.5</v>
      </c>
      <c r="BB111" s="90"/>
      <c r="BC111" s="90"/>
      <c r="BD111" s="90"/>
      <c r="BE111" s="90"/>
      <c r="BF111" s="94"/>
      <c r="BG111" s="88"/>
      <c r="BH111" s="88"/>
      <c r="BI111" s="88"/>
      <c r="BJ111" s="88"/>
      <c r="BK111" s="88"/>
      <c r="BL111" s="88"/>
      <c r="BM111" s="88"/>
      <c r="BN111" s="89">
        <f>IR111*BA111+IS111*BA111</f>
        <v>0</v>
      </c>
      <c r="BO111" s="90"/>
      <c r="BP111" s="90"/>
      <c r="BQ111" s="90"/>
      <c r="BR111" s="90"/>
      <c r="BS111" s="90"/>
      <c r="BT111" s="90"/>
      <c r="BU111" s="90"/>
      <c r="IR111" s="10">
        <f>BF111*0</f>
        <v>0</v>
      </c>
      <c r="IS111" s="10">
        <f>BF111*(1-0)</f>
        <v>0</v>
      </c>
    </row>
    <row r="112" spans="1:73" ht="12.75">
      <c r="A112" s="102" t="s">
        <v>6</v>
      </c>
      <c r="B112" s="103"/>
      <c r="C112" s="102" t="s">
        <v>6</v>
      </c>
      <c r="D112" s="103"/>
      <c r="E112" s="103"/>
      <c r="F112" s="102"/>
      <c r="G112" s="103"/>
      <c r="H112" s="103"/>
      <c r="I112" s="103"/>
      <c r="J112" s="103"/>
      <c r="K112" s="103"/>
      <c r="L112" s="102" t="s">
        <v>450</v>
      </c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2" t="s">
        <v>6</v>
      </c>
      <c r="AZ112" s="103"/>
      <c r="BA112" s="104" t="s">
        <v>6</v>
      </c>
      <c r="BB112" s="105"/>
      <c r="BC112" s="105"/>
      <c r="BD112" s="105"/>
      <c r="BE112" s="105"/>
      <c r="BF112" s="106" t="s">
        <v>6</v>
      </c>
      <c r="BG112" s="105"/>
      <c r="BH112" s="105"/>
      <c r="BI112" s="105"/>
      <c r="BJ112" s="105"/>
      <c r="BK112" s="105"/>
      <c r="BL112" s="105"/>
      <c r="BM112" s="105"/>
      <c r="BN112" s="111">
        <f>SUM(BN113:BN121)</f>
        <v>0</v>
      </c>
      <c r="BO112" s="105"/>
      <c r="BP112" s="105"/>
      <c r="BQ112" s="105"/>
      <c r="BR112" s="105"/>
      <c r="BS112" s="105"/>
      <c r="BT112" s="105"/>
      <c r="BU112" s="105"/>
    </row>
    <row r="113" spans="1:253" ht="12.75">
      <c r="A113" s="92" t="s">
        <v>84</v>
      </c>
      <c r="B113" s="93"/>
      <c r="C113" s="92" t="s">
        <v>172</v>
      </c>
      <c r="D113" s="93"/>
      <c r="E113" s="93"/>
      <c r="F113" s="92" t="s">
        <v>264</v>
      </c>
      <c r="G113" s="93"/>
      <c r="H113" s="93"/>
      <c r="I113" s="93"/>
      <c r="J113" s="93"/>
      <c r="K113" s="93"/>
      <c r="L113" s="92" t="s">
        <v>736</v>
      </c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2" t="s">
        <v>554</v>
      </c>
      <c r="AZ113" s="93"/>
      <c r="BA113" s="95">
        <v>757.08</v>
      </c>
      <c r="BB113" s="91"/>
      <c r="BC113" s="91"/>
      <c r="BD113" s="91"/>
      <c r="BE113" s="91"/>
      <c r="BF113" s="100"/>
      <c r="BG113" s="101"/>
      <c r="BH113" s="101"/>
      <c r="BI113" s="101"/>
      <c r="BJ113" s="101"/>
      <c r="BK113" s="101"/>
      <c r="BL113" s="101"/>
      <c r="BM113" s="101"/>
      <c r="BN113" s="95">
        <f aca="true" t="shared" si="5" ref="BN113:BN121">IR113*BA113+IS113*BA113</f>
        <v>0</v>
      </c>
      <c r="BO113" s="91"/>
      <c r="BP113" s="91"/>
      <c r="BQ113" s="91"/>
      <c r="BR113" s="91"/>
      <c r="BS113" s="91"/>
      <c r="BT113" s="91"/>
      <c r="BU113" s="91"/>
      <c r="IR113" s="11">
        <f aca="true" t="shared" si="6" ref="IR113:IR121">BF113*1</f>
        <v>0</v>
      </c>
      <c r="IS113" s="11">
        <f aca="true" t="shared" si="7" ref="IS113:IS121">BF113*(1-1)</f>
        <v>0</v>
      </c>
    </row>
    <row r="114" spans="1:253" ht="12.75">
      <c r="A114" s="92" t="s">
        <v>85</v>
      </c>
      <c r="B114" s="93"/>
      <c r="C114" s="92" t="s">
        <v>172</v>
      </c>
      <c r="D114" s="93"/>
      <c r="E114" s="93"/>
      <c r="F114" s="92" t="s">
        <v>265</v>
      </c>
      <c r="G114" s="93"/>
      <c r="H114" s="93"/>
      <c r="I114" s="93"/>
      <c r="J114" s="93"/>
      <c r="K114" s="93"/>
      <c r="L114" s="92" t="s">
        <v>452</v>
      </c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2" t="s">
        <v>552</v>
      </c>
      <c r="AZ114" s="93"/>
      <c r="BA114" s="95">
        <v>8.44</v>
      </c>
      <c r="BB114" s="91"/>
      <c r="BC114" s="91"/>
      <c r="BD114" s="91"/>
      <c r="BE114" s="91"/>
      <c r="BF114" s="100"/>
      <c r="BG114" s="101"/>
      <c r="BH114" s="101"/>
      <c r="BI114" s="101"/>
      <c r="BJ114" s="101"/>
      <c r="BK114" s="101"/>
      <c r="BL114" s="101"/>
      <c r="BM114" s="101"/>
      <c r="BN114" s="95">
        <f t="shared" si="5"/>
        <v>0</v>
      </c>
      <c r="BO114" s="91"/>
      <c r="BP114" s="91"/>
      <c r="BQ114" s="91"/>
      <c r="BR114" s="91"/>
      <c r="BS114" s="91"/>
      <c r="BT114" s="91"/>
      <c r="BU114" s="91"/>
      <c r="IR114" s="11">
        <f t="shared" si="6"/>
        <v>0</v>
      </c>
      <c r="IS114" s="11">
        <f t="shared" si="7"/>
        <v>0</v>
      </c>
    </row>
    <row r="115" spans="1:253" ht="12.75">
      <c r="A115" s="92" t="s">
        <v>86</v>
      </c>
      <c r="B115" s="93"/>
      <c r="C115" s="92" t="s">
        <v>172</v>
      </c>
      <c r="D115" s="93"/>
      <c r="E115" s="93"/>
      <c r="F115" s="92" t="s">
        <v>266</v>
      </c>
      <c r="G115" s="93"/>
      <c r="H115" s="93"/>
      <c r="I115" s="93"/>
      <c r="J115" s="93"/>
      <c r="K115" s="93"/>
      <c r="L115" s="92" t="s">
        <v>453</v>
      </c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2" t="s">
        <v>556</v>
      </c>
      <c r="AZ115" s="93"/>
      <c r="BA115" s="95">
        <v>12.5</v>
      </c>
      <c r="BB115" s="91"/>
      <c r="BC115" s="91"/>
      <c r="BD115" s="91"/>
      <c r="BE115" s="91"/>
      <c r="BF115" s="100"/>
      <c r="BG115" s="101"/>
      <c r="BH115" s="101"/>
      <c r="BI115" s="101"/>
      <c r="BJ115" s="101"/>
      <c r="BK115" s="101"/>
      <c r="BL115" s="101"/>
      <c r="BM115" s="101"/>
      <c r="BN115" s="95">
        <f t="shared" si="5"/>
        <v>0</v>
      </c>
      <c r="BO115" s="91"/>
      <c r="BP115" s="91"/>
      <c r="BQ115" s="91"/>
      <c r="BR115" s="91"/>
      <c r="BS115" s="91"/>
      <c r="BT115" s="91"/>
      <c r="BU115" s="91"/>
      <c r="IR115" s="11">
        <f t="shared" si="6"/>
        <v>0</v>
      </c>
      <c r="IS115" s="11">
        <f t="shared" si="7"/>
        <v>0</v>
      </c>
    </row>
    <row r="116" spans="1:253" ht="12.75">
      <c r="A116" s="92" t="s">
        <v>87</v>
      </c>
      <c r="B116" s="93"/>
      <c r="C116" s="92" t="s">
        <v>172</v>
      </c>
      <c r="D116" s="93"/>
      <c r="E116" s="93"/>
      <c r="F116" s="92" t="s">
        <v>267</v>
      </c>
      <c r="G116" s="93"/>
      <c r="H116" s="93"/>
      <c r="I116" s="93"/>
      <c r="J116" s="93"/>
      <c r="K116" s="93"/>
      <c r="L116" s="92" t="s">
        <v>454</v>
      </c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2" t="s">
        <v>554</v>
      </c>
      <c r="AZ116" s="93"/>
      <c r="BA116" s="95">
        <v>90.46</v>
      </c>
      <c r="BB116" s="91"/>
      <c r="BC116" s="91"/>
      <c r="BD116" s="91"/>
      <c r="BE116" s="91"/>
      <c r="BF116" s="100"/>
      <c r="BG116" s="101"/>
      <c r="BH116" s="101"/>
      <c r="BI116" s="101"/>
      <c r="BJ116" s="101"/>
      <c r="BK116" s="101"/>
      <c r="BL116" s="101"/>
      <c r="BM116" s="101"/>
      <c r="BN116" s="95">
        <f t="shared" si="5"/>
        <v>0</v>
      </c>
      <c r="BO116" s="91"/>
      <c r="BP116" s="91"/>
      <c r="BQ116" s="91"/>
      <c r="BR116" s="91"/>
      <c r="BS116" s="91"/>
      <c r="BT116" s="91"/>
      <c r="BU116" s="91"/>
      <c r="IR116" s="11">
        <f t="shared" si="6"/>
        <v>0</v>
      </c>
      <c r="IS116" s="11">
        <f t="shared" si="7"/>
        <v>0</v>
      </c>
    </row>
    <row r="117" spans="1:253" ht="12.75">
      <c r="A117" s="92" t="s">
        <v>88</v>
      </c>
      <c r="B117" s="93"/>
      <c r="C117" s="92" t="s">
        <v>172</v>
      </c>
      <c r="D117" s="93"/>
      <c r="E117" s="93"/>
      <c r="F117" s="92" t="s">
        <v>268</v>
      </c>
      <c r="G117" s="93"/>
      <c r="H117" s="93"/>
      <c r="I117" s="93"/>
      <c r="J117" s="93"/>
      <c r="K117" s="93"/>
      <c r="L117" s="92" t="s">
        <v>455</v>
      </c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2" t="s">
        <v>554</v>
      </c>
      <c r="AZ117" s="93"/>
      <c r="BA117" s="95">
        <v>98.93</v>
      </c>
      <c r="BB117" s="91"/>
      <c r="BC117" s="91"/>
      <c r="BD117" s="91"/>
      <c r="BE117" s="91"/>
      <c r="BF117" s="100"/>
      <c r="BG117" s="101"/>
      <c r="BH117" s="101"/>
      <c r="BI117" s="101"/>
      <c r="BJ117" s="101"/>
      <c r="BK117" s="101"/>
      <c r="BL117" s="101"/>
      <c r="BM117" s="101"/>
      <c r="BN117" s="95">
        <f t="shared" si="5"/>
        <v>0</v>
      </c>
      <c r="BO117" s="91"/>
      <c r="BP117" s="91"/>
      <c r="BQ117" s="91"/>
      <c r="BR117" s="91"/>
      <c r="BS117" s="91"/>
      <c r="BT117" s="91"/>
      <c r="BU117" s="91"/>
      <c r="IR117" s="11">
        <f t="shared" si="6"/>
        <v>0</v>
      </c>
      <c r="IS117" s="11">
        <f t="shared" si="7"/>
        <v>0</v>
      </c>
    </row>
    <row r="118" spans="1:253" ht="12.75">
      <c r="A118" s="92" t="s">
        <v>89</v>
      </c>
      <c r="B118" s="93"/>
      <c r="C118" s="92" t="s">
        <v>172</v>
      </c>
      <c r="D118" s="93"/>
      <c r="E118" s="93"/>
      <c r="F118" s="92" t="s">
        <v>269</v>
      </c>
      <c r="G118" s="93"/>
      <c r="H118" s="93"/>
      <c r="I118" s="93"/>
      <c r="J118" s="93"/>
      <c r="K118" s="93"/>
      <c r="L118" s="92" t="s">
        <v>456</v>
      </c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2" t="s">
        <v>554</v>
      </c>
      <c r="AZ118" s="93"/>
      <c r="BA118" s="95">
        <v>694.26</v>
      </c>
      <c r="BB118" s="91"/>
      <c r="BC118" s="91"/>
      <c r="BD118" s="91"/>
      <c r="BE118" s="91"/>
      <c r="BF118" s="100"/>
      <c r="BG118" s="101"/>
      <c r="BH118" s="101"/>
      <c r="BI118" s="101"/>
      <c r="BJ118" s="101"/>
      <c r="BK118" s="101"/>
      <c r="BL118" s="101"/>
      <c r="BM118" s="101"/>
      <c r="BN118" s="95">
        <f t="shared" si="5"/>
        <v>0</v>
      </c>
      <c r="BO118" s="91"/>
      <c r="BP118" s="91"/>
      <c r="BQ118" s="91"/>
      <c r="BR118" s="91"/>
      <c r="BS118" s="91"/>
      <c r="BT118" s="91"/>
      <c r="BU118" s="91"/>
      <c r="IR118" s="11">
        <f t="shared" si="6"/>
        <v>0</v>
      </c>
      <c r="IS118" s="11">
        <f t="shared" si="7"/>
        <v>0</v>
      </c>
    </row>
    <row r="119" spans="1:253" ht="12.75">
      <c r="A119" s="92" t="s">
        <v>90</v>
      </c>
      <c r="B119" s="93"/>
      <c r="C119" s="92" t="s">
        <v>172</v>
      </c>
      <c r="D119" s="93"/>
      <c r="E119" s="93"/>
      <c r="F119" s="92" t="s">
        <v>270</v>
      </c>
      <c r="G119" s="93"/>
      <c r="H119" s="93"/>
      <c r="I119" s="93"/>
      <c r="J119" s="93"/>
      <c r="K119" s="93"/>
      <c r="L119" s="92" t="s">
        <v>457</v>
      </c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2" t="s">
        <v>554</v>
      </c>
      <c r="AZ119" s="93"/>
      <c r="BA119" s="95">
        <v>578.1</v>
      </c>
      <c r="BB119" s="91"/>
      <c r="BC119" s="91"/>
      <c r="BD119" s="91"/>
      <c r="BE119" s="91"/>
      <c r="BF119" s="100"/>
      <c r="BG119" s="101"/>
      <c r="BH119" s="101"/>
      <c r="BI119" s="101"/>
      <c r="BJ119" s="101"/>
      <c r="BK119" s="101"/>
      <c r="BL119" s="101"/>
      <c r="BM119" s="101"/>
      <c r="BN119" s="95">
        <f t="shared" si="5"/>
        <v>0</v>
      </c>
      <c r="BO119" s="91"/>
      <c r="BP119" s="91"/>
      <c r="BQ119" s="91"/>
      <c r="BR119" s="91"/>
      <c r="BS119" s="91"/>
      <c r="BT119" s="91"/>
      <c r="BU119" s="91"/>
      <c r="IR119" s="11">
        <f t="shared" si="6"/>
        <v>0</v>
      </c>
      <c r="IS119" s="11">
        <f t="shared" si="7"/>
        <v>0</v>
      </c>
    </row>
    <row r="120" spans="1:253" ht="12.75">
      <c r="A120" s="92" t="s">
        <v>91</v>
      </c>
      <c r="B120" s="93"/>
      <c r="C120" s="92" t="s">
        <v>172</v>
      </c>
      <c r="D120" s="93"/>
      <c r="E120" s="93"/>
      <c r="F120" s="92" t="s">
        <v>271</v>
      </c>
      <c r="G120" s="93"/>
      <c r="H120" s="93"/>
      <c r="I120" s="93"/>
      <c r="J120" s="93"/>
      <c r="K120" s="93"/>
      <c r="L120" s="92" t="s">
        <v>737</v>
      </c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2" t="s">
        <v>554</v>
      </c>
      <c r="AZ120" s="93"/>
      <c r="BA120" s="95">
        <v>43.02</v>
      </c>
      <c r="BB120" s="91"/>
      <c r="BC120" s="91"/>
      <c r="BD120" s="91"/>
      <c r="BE120" s="91"/>
      <c r="BF120" s="100"/>
      <c r="BG120" s="101"/>
      <c r="BH120" s="101"/>
      <c r="BI120" s="101"/>
      <c r="BJ120" s="101"/>
      <c r="BK120" s="101"/>
      <c r="BL120" s="101"/>
      <c r="BM120" s="101"/>
      <c r="BN120" s="95">
        <f t="shared" si="5"/>
        <v>0</v>
      </c>
      <c r="BO120" s="91"/>
      <c r="BP120" s="91"/>
      <c r="BQ120" s="91"/>
      <c r="BR120" s="91"/>
      <c r="BS120" s="91"/>
      <c r="BT120" s="91"/>
      <c r="BU120" s="91"/>
      <c r="IR120" s="11">
        <f t="shared" si="6"/>
        <v>0</v>
      </c>
      <c r="IS120" s="11">
        <f t="shared" si="7"/>
        <v>0</v>
      </c>
    </row>
    <row r="121" spans="1:253" ht="12.75">
      <c r="A121" s="92" t="s">
        <v>92</v>
      </c>
      <c r="B121" s="93"/>
      <c r="C121" s="92" t="s">
        <v>172</v>
      </c>
      <c r="D121" s="93"/>
      <c r="E121" s="93"/>
      <c r="F121" s="92" t="s">
        <v>272</v>
      </c>
      <c r="G121" s="93"/>
      <c r="H121" s="93"/>
      <c r="I121" s="93"/>
      <c r="J121" s="93"/>
      <c r="K121" s="93"/>
      <c r="L121" s="92" t="s">
        <v>459</v>
      </c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2" t="s">
        <v>553</v>
      </c>
      <c r="AZ121" s="93"/>
      <c r="BA121" s="95">
        <v>51.73</v>
      </c>
      <c r="BB121" s="91"/>
      <c r="BC121" s="91"/>
      <c r="BD121" s="91"/>
      <c r="BE121" s="91"/>
      <c r="BF121" s="100"/>
      <c r="BG121" s="101"/>
      <c r="BH121" s="101"/>
      <c r="BI121" s="101"/>
      <c r="BJ121" s="101"/>
      <c r="BK121" s="101"/>
      <c r="BL121" s="101"/>
      <c r="BM121" s="101"/>
      <c r="BN121" s="95">
        <f t="shared" si="5"/>
        <v>0</v>
      </c>
      <c r="BO121" s="91"/>
      <c r="BP121" s="91"/>
      <c r="BQ121" s="91"/>
      <c r="BR121" s="91"/>
      <c r="BS121" s="91"/>
      <c r="BT121" s="91"/>
      <c r="BU121" s="91"/>
      <c r="IR121" s="11">
        <f t="shared" si="6"/>
        <v>0</v>
      </c>
      <c r="IS121" s="11">
        <f t="shared" si="7"/>
        <v>0</v>
      </c>
    </row>
    <row r="122" spans="1:73" ht="12.75">
      <c r="A122" s="112" t="s">
        <v>6</v>
      </c>
      <c r="B122" s="113"/>
      <c r="C122" s="112" t="s">
        <v>6</v>
      </c>
      <c r="D122" s="113"/>
      <c r="E122" s="113"/>
      <c r="F122" s="114" t="s">
        <v>715</v>
      </c>
      <c r="G122" s="113"/>
      <c r="H122" s="113"/>
      <c r="I122" s="113"/>
      <c r="J122" s="113"/>
      <c r="K122" s="113"/>
      <c r="L122" s="112" t="s">
        <v>460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2" t="s">
        <v>6</v>
      </c>
      <c r="AZ122" s="113"/>
      <c r="BA122" s="115" t="s">
        <v>6</v>
      </c>
      <c r="BB122" s="116"/>
      <c r="BC122" s="116"/>
      <c r="BD122" s="116"/>
      <c r="BE122" s="116"/>
      <c r="BF122" s="117" t="s">
        <v>6</v>
      </c>
      <c r="BG122" s="116"/>
      <c r="BH122" s="116"/>
      <c r="BI122" s="116"/>
      <c r="BJ122" s="116"/>
      <c r="BK122" s="116"/>
      <c r="BL122" s="116"/>
      <c r="BM122" s="116"/>
      <c r="BN122" s="120">
        <f>BN123+BN131+BN145+BN155</f>
        <v>0</v>
      </c>
      <c r="BO122" s="116"/>
      <c r="BP122" s="116"/>
      <c r="BQ122" s="116"/>
      <c r="BR122" s="116"/>
      <c r="BS122" s="116"/>
      <c r="BT122" s="116"/>
      <c r="BU122" s="116"/>
    </row>
    <row r="123" spans="1:73" ht="12.75">
      <c r="A123" s="102" t="s">
        <v>6</v>
      </c>
      <c r="B123" s="103"/>
      <c r="C123" s="102" t="s">
        <v>6</v>
      </c>
      <c r="D123" s="103"/>
      <c r="E123" s="103"/>
      <c r="F123" s="102" t="s">
        <v>273</v>
      </c>
      <c r="G123" s="103"/>
      <c r="H123" s="103"/>
      <c r="I123" s="103"/>
      <c r="J123" s="103"/>
      <c r="K123" s="103"/>
      <c r="L123" s="102" t="s">
        <v>461</v>
      </c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2" t="s">
        <v>6</v>
      </c>
      <c r="AZ123" s="103"/>
      <c r="BA123" s="104" t="s">
        <v>6</v>
      </c>
      <c r="BB123" s="105"/>
      <c r="BC123" s="105"/>
      <c r="BD123" s="105"/>
      <c r="BE123" s="105"/>
      <c r="BF123" s="106" t="s">
        <v>6</v>
      </c>
      <c r="BG123" s="105"/>
      <c r="BH123" s="105"/>
      <c r="BI123" s="105"/>
      <c r="BJ123" s="105"/>
      <c r="BK123" s="105"/>
      <c r="BL123" s="105"/>
      <c r="BM123" s="105"/>
      <c r="BN123" s="111">
        <f>SUM(BN124:BN130)</f>
        <v>0</v>
      </c>
      <c r="BO123" s="105"/>
      <c r="BP123" s="105"/>
      <c r="BQ123" s="105"/>
      <c r="BR123" s="105"/>
      <c r="BS123" s="105"/>
      <c r="BT123" s="105"/>
      <c r="BU123" s="105"/>
    </row>
    <row r="124" spans="1:253" ht="12.75">
      <c r="A124" s="109" t="s">
        <v>93</v>
      </c>
      <c r="B124" s="110"/>
      <c r="C124" s="109" t="s">
        <v>173</v>
      </c>
      <c r="D124" s="110"/>
      <c r="E124" s="110"/>
      <c r="F124" s="109" t="s">
        <v>274</v>
      </c>
      <c r="G124" s="110"/>
      <c r="H124" s="110"/>
      <c r="I124" s="110"/>
      <c r="J124" s="110"/>
      <c r="K124" s="110"/>
      <c r="L124" s="109" t="s">
        <v>462</v>
      </c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09" t="s">
        <v>556</v>
      </c>
      <c r="AZ124" s="110"/>
      <c r="BA124" s="89">
        <v>5.5</v>
      </c>
      <c r="BB124" s="90"/>
      <c r="BC124" s="90"/>
      <c r="BD124" s="90"/>
      <c r="BE124" s="90"/>
      <c r="BF124" s="94"/>
      <c r="BG124" s="88"/>
      <c r="BH124" s="88"/>
      <c r="BI124" s="88"/>
      <c r="BJ124" s="88"/>
      <c r="BK124" s="88"/>
      <c r="BL124" s="88"/>
      <c r="BM124" s="88"/>
      <c r="BN124" s="89">
        <f aca="true" t="shared" si="8" ref="BN124:BN130">IR124*BA124+IS124*BA124</f>
        <v>0</v>
      </c>
      <c r="BO124" s="90"/>
      <c r="BP124" s="90"/>
      <c r="BQ124" s="90"/>
      <c r="BR124" s="90"/>
      <c r="BS124" s="90"/>
      <c r="BT124" s="90"/>
      <c r="BU124" s="90"/>
      <c r="IR124" s="10">
        <f>BF124*0.415212765957447</f>
        <v>0</v>
      </c>
      <c r="IS124" s="10">
        <f>BF124*(1-0.415212765957447)</f>
        <v>0</v>
      </c>
    </row>
    <row r="125" spans="1:253" ht="12.75">
      <c r="A125" s="109" t="s">
        <v>94</v>
      </c>
      <c r="B125" s="110"/>
      <c r="C125" s="109" t="s">
        <v>173</v>
      </c>
      <c r="D125" s="110"/>
      <c r="E125" s="110"/>
      <c r="F125" s="109" t="s">
        <v>275</v>
      </c>
      <c r="G125" s="110"/>
      <c r="H125" s="110"/>
      <c r="I125" s="110"/>
      <c r="J125" s="110"/>
      <c r="K125" s="110"/>
      <c r="L125" s="109" t="s">
        <v>463</v>
      </c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09" t="s">
        <v>556</v>
      </c>
      <c r="AZ125" s="110"/>
      <c r="BA125" s="89">
        <v>5.1</v>
      </c>
      <c r="BB125" s="90"/>
      <c r="BC125" s="90"/>
      <c r="BD125" s="90"/>
      <c r="BE125" s="90"/>
      <c r="BF125" s="94"/>
      <c r="BG125" s="88"/>
      <c r="BH125" s="88"/>
      <c r="BI125" s="88"/>
      <c r="BJ125" s="88"/>
      <c r="BK125" s="88"/>
      <c r="BL125" s="88"/>
      <c r="BM125" s="88"/>
      <c r="BN125" s="89">
        <f t="shared" si="8"/>
        <v>0</v>
      </c>
      <c r="BO125" s="90"/>
      <c r="BP125" s="90"/>
      <c r="BQ125" s="90"/>
      <c r="BR125" s="90"/>
      <c r="BS125" s="90"/>
      <c r="BT125" s="90"/>
      <c r="BU125" s="90"/>
      <c r="IR125" s="10">
        <f>BF125*0.341757469244288</f>
        <v>0</v>
      </c>
      <c r="IS125" s="10">
        <f>BF125*(1-0.341757469244288)</f>
        <v>0</v>
      </c>
    </row>
    <row r="126" spans="1:253" ht="12.75">
      <c r="A126" s="109" t="s">
        <v>95</v>
      </c>
      <c r="B126" s="110"/>
      <c r="C126" s="109" t="s">
        <v>173</v>
      </c>
      <c r="D126" s="110"/>
      <c r="E126" s="110"/>
      <c r="F126" s="109" t="s">
        <v>276</v>
      </c>
      <c r="G126" s="110"/>
      <c r="H126" s="110"/>
      <c r="I126" s="110"/>
      <c r="J126" s="110"/>
      <c r="K126" s="110"/>
      <c r="L126" s="109" t="s">
        <v>464</v>
      </c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09" t="s">
        <v>556</v>
      </c>
      <c r="AZ126" s="110"/>
      <c r="BA126" s="89">
        <v>33</v>
      </c>
      <c r="BB126" s="90"/>
      <c r="BC126" s="90"/>
      <c r="BD126" s="90"/>
      <c r="BE126" s="90"/>
      <c r="BF126" s="94"/>
      <c r="BG126" s="88"/>
      <c r="BH126" s="88"/>
      <c r="BI126" s="88"/>
      <c r="BJ126" s="88"/>
      <c r="BK126" s="88"/>
      <c r="BL126" s="88"/>
      <c r="BM126" s="88"/>
      <c r="BN126" s="89">
        <f t="shared" si="8"/>
        <v>0</v>
      </c>
      <c r="BO126" s="90"/>
      <c r="BP126" s="90"/>
      <c r="BQ126" s="90"/>
      <c r="BR126" s="90"/>
      <c r="BS126" s="90"/>
      <c r="BT126" s="90"/>
      <c r="BU126" s="90"/>
      <c r="IR126" s="10">
        <f>BF126*0.380037593984962</f>
        <v>0</v>
      </c>
      <c r="IS126" s="10">
        <f>BF126*(1-0.380037593984962)</f>
        <v>0</v>
      </c>
    </row>
    <row r="127" spans="1:253" ht="12.75">
      <c r="A127" s="109" t="s">
        <v>96</v>
      </c>
      <c r="B127" s="110"/>
      <c r="C127" s="109" t="s">
        <v>173</v>
      </c>
      <c r="D127" s="110"/>
      <c r="E127" s="110"/>
      <c r="F127" s="109" t="s">
        <v>277</v>
      </c>
      <c r="G127" s="110"/>
      <c r="H127" s="110"/>
      <c r="I127" s="110"/>
      <c r="J127" s="110"/>
      <c r="K127" s="110"/>
      <c r="L127" s="109" t="s">
        <v>465</v>
      </c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09" t="s">
        <v>555</v>
      </c>
      <c r="AZ127" s="110"/>
      <c r="BA127" s="89">
        <v>1</v>
      </c>
      <c r="BB127" s="90"/>
      <c r="BC127" s="90"/>
      <c r="BD127" s="90"/>
      <c r="BE127" s="90"/>
      <c r="BF127" s="94"/>
      <c r="BG127" s="88"/>
      <c r="BH127" s="88"/>
      <c r="BI127" s="88"/>
      <c r="BJ127" s="88"/>
      <c r="BK127" s="88"/>
      <c r="BL127" s="88"/>
      <c r="BM127" s="88"/>
      <c r="BN127" s="89">
        <f t="shared" si="8"/>
        <v>0</v>
      </c>
      <c r="BO127" s="90"/>
      <c r="BP127" s="90"/>
      <c r="BQ127" s="90"/>
      <c r="BR127" s="90"/>
      <c r="BS127" s="90"/>
      <c r="BT127" s="90"/>
      <c r="BU127" s="90"/>
      <c r="IR127" s="10">
        <f>BF127*0.965689440993789</f>
        <v>0</v>
      </c>
      <c r="IS127" s="10">
        <f>BF127*(1-0.965689440993789)</f>
        <v>0</v>
      </c>
    </row>
    <row r="128" spans="1:253" ht="12.75">
      <c r="A128" s="109" t="s">
        <v>97</v>
      </c>
      <c r="B128" s="110"/>
      <c r="C128" s="109" t="s">
        <v>173</v>
      </c>
      <c r="D128" s="110"/>
      <c r="E128" s="110"/>
      <c r="F128" s="109" t="s">
        <v>278</v>
      </c>
      <c r="G128" s="110"/>
      <c r="H128" s="110"/>
      <c r="I128" s="110"/>
      <c r="J128" s="110"/>
      <c r="K128" s="110"/>
      <c r="L128" s="109" t="s">
        <v>466</v>
      </c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09" t="s">
        <v>553</v>
      </c>
      <c r="AZ128" s="110"/>
      <c r="BA128" s="89">
        <v>0.07</v>
      </c>
      <c r="BB128" s="90"/>
      <c r="BC128" s="90"/>
      <c r="BD128" s="90"/>
      <c r="BE128" s="90"/>
      <c r="BF128" s="94"/>
      <c r="BG128" s="88"/>
      <c r="BH128" s="88"/>
      <c r="BI128" s="88"/>
      <c r="BJ128" s="88"/>
      <c r="BK128" s="88"/>
      <c r="BL128" s="88"/>
      <c r="BM128" s="88"/>
      <c r="BN128" s="89">
        <f t="shared" si="8"/>
        <v>0</v>
      </c>
      <c r="BO128" s="90"/>
      <c r="BP128" s="90"/>
      <c r="BQ128" s="90"/>
      <c r="BR128" s="90"/>
      <c r="BS128" s="90"/>
      <c r="BT128" s="90"/>
      <c r="BU128" s="90"/>
      <c r="IR128" s="10">
        <f>BF128*0</f>
        <v>0</v>
      </c>
      <c r="IS128" s="10">
        <f>BF128*(1-0)</f>
        <v>0</v>
      </c>
    </row>
    <row r="129" spans="1:253" ht="12.75">
      <c r="A129" s="109" t="s">
        <v>98</v>
      </c>
      <c r="B129" s="110"/>
      <c r="C129" s="109" t="s">
        <v>173</v>
      </c>
      <c r="D129" s="110"/>
      <c r="E129" s="110"/>
      <c r="F129" s="109" t="s">
        <v>279</v>
      </c>
      <c r="G129" s="110"/>
      <c r="H129" s="110"/>
      <c r="I129" s="110"/>
      <c r="J129" s="110"/>
      <c r="K129" s="110"/>
      <c r="L129" s="109" t="s">
        <v>467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09" t="s">
        <v>556</v>
      </c>
      <c r="AZ129" s="110"/>
      <c r="BA129" s="89">
        <v>43.6</v>
      </c>
      <c r="BB129" s="90"/>
      <c r="BC129" s="90"/>
      <c r="BD129" s="90"/>
      <c r="BE129" s="90"/>
      <c r="BF129" s="94"/>
      <c r="BG129" s="88"/>
      <c r="BH129" s="88"/>
      <c r="BI129" s="88"/>
      <c r="BJ129" s="88"/>
      <c r="BK129" s="88"/>
      <c r="BL129" s="88"/>
      <c r="BM129" s="88"/>
      <c r="BN129" s="89">
        <f t="shared" si="8"/>
        <v>0</v>
      </c>
      <c r="BO129" s="90"/>
      <c r="BP129" s="90"/>
      <c r="BQ129" s="90"/>
      <c r="BR129" s="90"/>
      <c r="BS129" s="90"/>
      <c r="BT129" s="90"/>
      <c r="BU129" s="90"/>
      <c r="IR129" s="10">
        <f>BF129*0.0595833333333333</f>
        <v>0</v>
      </c>
      <c r="IS129" s="10">
        <f>BF129*(1-0.0595833333333333)</f>
        <v>0</v>
      </c>
    </row>
    <row r="130" spans="1:253" ht="12.75">
      <c r="A130" s="109" t="s">
        <v>99</v>
      </c>
      <c r="B130" s="110"/>
      <c r="C130" s="109" t="s">
        <v>173</v>
      </c>
      <c r="D130" s="110"/>
      <c r="E130" s="110"/>
      <c r="F130" s="109" t="s">
        <v>280</v>
      </c>
      <c r="G130" s="110"/>
      <c r="H130" s="110"/>
      <c r="I130" s="110"/>
      <c r="J130" s="110"/>
      <c r="K130" s="110"/>
      <c r="L130" s="109" t="s">
        <v>468</v>
      </c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09" t="s">
        <v>555</v>
      </c>
      <c r="AZ130" s="110"/>
      <c r="BA130" s="89">
        <v>1</v>
      </c>
      <c r="BB130" s="90"/>
      <c r="BC130" s="90"/>
      <c r="BD130" s="90"/>
      <c r="BE130" s="90"/>
      <c r="BF130" s="94"/>
      <c r="BG130" s="88"/>
      <c r="BH130" s="88"/>
      <c r="BI130" s="88"/>
      <c r="BJ130" s="88"/>
      <c r="BK130" s="88"/>
      <c r="BL130" s="88"/>
      <c r="BM130" s="88"/>
      <c r="BN130" s="89">
        <f t="shared" si="8"/>
        <v>0</v>
      </c>
      <c r="BO130" s="90"/>
      <c r="BP130" s="90"/>
      <c r="BQ130" s="90"/>
      <c r="BR130" s="90"/>
      <c r="BS130" s="90"/>
      <c r="BT130" s="90"/>
      <c r="BU130" s="90"/>
      <c r="IR130" s="10">
        <f>BF130*0.811603053435114</f>
        <v>0</v>
      </c>
      <c r="IS130" s="10">
        <f>BF130*(1-0.811603053435114)</f>
        <v>0</v>
      </c>
    </row>
    <row r="131" spans="1:73" ht="12.75">
      <c r="A131" s="102" t="s">
        <v>6</v>
      </c>
      <c r="B131" s="103"/>
      <c r="C131" s="102" t="s">
        <v>6</v>
      </c>
      <c r="D131" s="103"/>
      <c r="E131" s="103"/>
      <c r="F131" s="102" t="s">
        <v>281</v>
      </c>
      <c r="G131" s="103"/>
      <c r="H131" s="103"/>
      <c r="I131" s="103"/>
      <c r="J131" s="103"/>
      <c r="K131" s="103"/>
      <c r="L131" s="102" t="s">
        <v>469</v>
      </c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2" t="s">
        <v>6</v>
      </c>
      <c r="AZ131" s="103"/>
      <c r="BA131" s="104" t="s">
        <v>6</v>
      </c>
      <c r="BB131" s="105"/>
      <c r="BC131" s="105"/>
      <c r="BD131" s="105"/>
      <c r="BE131" s="105"/>
      <c r="BF131" s="106" t="s">
        <v>6</v>
      </c>
      <c r="BG131" s="105"/>
      <c r="BH131" s="105"/>
      <c r="BI131" s="105"/>
      <c r="BJ131" s="105"/>
      <c r="BK131" s="105"/>
      <c r="BL131" s="105"/>
      <c r="BM131" s="105"/>
      <c r="BN131" s="111">
        <f>SUM(BN132:BN144)</f>
        <v>0</v>
      </c>
      <c r="BO131" s="105"/>
      <c r="BP131" s="105"/>
      <c r="BQ131" s="105"/>
      <c r="BR131" s="105"/>
      <c r="BS131" s="105"/>
      <c r="BT131" s="105"/>
      <c r="BU131" s="105"/>
    </row>
    <row r="132" spans="1:253" ht="12.75">
      <c r="A132" s="109" t="s">
        <v>100</v>
      </c>
      <c r="B132" s="110"/>
      <c r="C132" s="109" t="s">
        <v>173</v>
      </c>
      <c r="D132" s="110"/>
      <c r="E132" s="110"/>
      <c r="F132" s="109" t="s">
        <v>282</v>
      </c>
      <c r="G132" s="110"/>
      <c r="H132" s="110"/>
      <c r="I132" s="110"/>
      <c r="J132" s="110"/>
      <c r="K132" s="110"/>
      <c r="L132" s="109" t="s">
        <v>470</v>
      </c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09" t="s">
        <v>556</v>
      </c>
      <c r="AZ132" s="110"/>
      <c r="BA132" s="89">
        <v>25.1</v>
      </c>
      <c r="BB132" s="90"/>
      <c r="BC132" s="90"/>
      <c r="BD132" s="90"/>
      <c r="BE132" s="90"/>
      <c r="BF132" s="94"/>
      <c r="BG132" s="88"/>
      <c r="BH132" s="88"/>
      <c r="BI132" s="88"/>
      <c r="BJ132" s="88"/>
      <c r="BK132" s="88"/>
      <c r="BL132" s="88"/>
      <c r="BM132" s="88"/>
      <c r="BN132" s="89">
        <f aca="true" t="shared" si="9" ref="BN132:BN144">IR132*BA132+IS132*BA132</f>
        <v>0</v>
      </c>
      <c r="BO132" s="90"/>
      <c r="BP132" s="90"/>
      <c r="BQ132" s="90"/>
      <c r="BR132" s="90"/>
      <c r="BS132" s="90"/>
      <c r="BT132" s="90"/>
      <c r="BU132" s="90"/>
      <c r="IR132" s="10">
        <f>BF132*0.208221797323136</f>
        <v>0</v>
      </c>
      <c r="IS132" s="10">
        <f>BF132*(1-0.208221797323136)</f>
        <v>0</v>
      </c>
    </row>
    <row r="133" spans="1:253" ht="12.75">
      <c r="A133" s="109" t="s">
        <v>101</v>
      </c>
      <c r="B133" s="110"/>
      <c r="C133" s="109" t="s">
        <v>173</v>
      </c>
      <c r="D133" s="110"/>
      <c r="E133" s="110"/>
      <c r="F133" s="109" t="s">
        <v>283</v>
      </c>
      <c r="G133" s="110"/>
      <c r="H133" s="110"/>
      <c r="I133" s="110"/>
      <c r="J133" s="110"/>
      <c r="K133" s="110"/>
      <c r="L133" s="109" t="s">
        <v>471</v>
      </c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09" t="s">
        <v>556</v>
      </c>
      <c r="AZ133" s="110"/>
      <c r="BA133" s="89">
        <v>18.3</v>
      </c>
      <c r="BB133" s="90"/>
      <c r="BC133" s="90"/>
      <c r="BD133" s="90"/>
      <c r="BE133" s="90"/>
      <c r="BF133" s="94"/>
      <c r="BG133" s="88"/>
      <c r="BH133" s="88"/>
      <c r="BI133" s="88"/>
      <c r="BJ133" s="88"/>
      <c r="BK133" s="88"/>
      <c r="BL133" s="88"/>
      <c r="BM133" s="88"/>
      <c r="BN133" s="89">
        <f t="shared" si="9"/>
        <v>0</v>
      </c>
      <c r="BO133" s="90"/>
      <c r="BP133" s="90"/>
      <c r="BQ133" s="90"/>
      <c r="BR133" s="90"/>
      <c r="BS133" s="90"/>
      <c r="BT133" s="90"/>
      <c r="BU133" s="90"/>
      <c r="IR133" s="10">
        <f>BF133*0.247194103795223</f>
        <v>0</v>
      </c>
      <c r="IS133" s="10">
        <f>BF133*(1-0.247194103795223)</f>
        <v>0</v>
      </c>
    </row>
    <row r="134" spans="1:253" ht="12.75">
      <c r="A134" s="109" t="s">
        <v>102</v>
      </c>
      <c r="B134" s="110"/>
      <c r="C134" s="109" t="s">
        <v>173</v>
      </c>
      <c r="D134" s="110"/>
      <c r="E134" s="110"/>
      <c r="F134" s="109" t="s">
        <v>284</v>
      </c>
      <c r="G134" s="110"/>
      <c r="H134" s="110"/>
      <c r="I134" s="110"/>
      <c r="J134" s="110"/>
      <c r="K134" s="110"/>
      <c r="L134" s="109" t="s">
        <v>472</v>
      </c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09" t="s">
        <v>556</v>
      </c>
      <c r="AZ134" s="110"/>
      <c r="BA134" s="89">
        <v>21</v>
      </c>
      <c r="BB134" s="90"/>
      <c r="BC134" s="90"/>
      <c r="BD134" s="90"/>
      <c r="BE134" s="90"/>
      <c r="BF134" s="94"/>
      <c r="BG134" s="88"/>
      <c r="BH134" s="88"/>
      <c r="BI134" s="88"/>
      <c r="BJ134" s="88"/>
      <c r="BK134" s="88"/>
      <c r="BL134" s="88"/>
      <c r="BM134" s="88"/>
      <c r="BN134" s="89">
        <f t="shared" si="9"/>
        <v>0</v>
      </c>
      <c r="BO134" s="90"/>
      <c r="BP134" s="90"/>
      <c r="BQ134" s="90"/>
      <c r="BR134" s="90"/>
      <c r="BS134" s="90"/>
      <c r="BT134" s="90"/>
      <c r="BU134" s="90"/>
      <c r="IR134" s="10">
        <f>BF134*0.303888888888889</f>
        <v>0</v>
      </c>
      <c r="IS134" s="10">
        <f>BF134*(1-0.303888888888889)</f>
        <v>0</v>
      </c>
    </row>
    <row r="135" spans="1:253" ht="12.75">
      <c r="A135" s="109" t="s">
        <v>103</v>
      </c>
      <c r="B135" s="110"/>
      <c r="C135" s="109" t="s">
        <v>173</v>
      </c>
      <c r="D135" s="110"/>
      <c r="E135" s="110"/>
      <c r="F135" s="109" t="s">
        <v>285</v>
      </c>
      <c r="G135" s="110"/>
      <c r="H135" s="110"/>
      <c r="I135" s="110"/>
      <c r="J135" s="110"/>
      <c r="K135" s="110"/>
      <c r="L135" s="109" t="s">
        <v>473</v>
      </c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09" t="s">
        <v>555</v>
      </c>
      <c r="AZ135" s="110"/>
      <c r="BA135" s="89">
        <v>3</v>
      </c>
      <c r="BB135" s="90"/>
      <c r="BC135" s="90"/>
      <c r="BD135" s="90"/>
      <c r="BE135" s="90"/>
      <c r="BF135" s="94"/>
      <c r="BG135" s="88"/>
      <c r="BH135" s="88"/>
      <c r="BI135" s="88"/>
      <c r="BJ135" s="88"/>
      <c r="BK135" s="88"/>
      <c r="BL135" s="88"/>
      <c r="BM135" s="88"/>
      <c r="BN135" s="89">
        <f t="shared" si="9"/>
        <v>0</v>
      </c>
      <c r="BO135" s="90"/>
      <c r="BP135" s="90"/>
      <c r="BQ135" s="90"/>
      <c r="BR135" s="90"/>
      <c r="BS135" s="90"/>
      <c r="BT135" s="90"/>
      <c r="BU135" s="90"/>
      <c r="IR135" s="10">
        <f>BF135*0.862730923694779</f>
        <v>0</v>
      </c>
      <c r="IS135" s="10">
        <f>BF135*(1-0.862730923694779)</f>
        <v>0</v>
      </c>
    </row>
    <row r="136" spans="1:253" ht="12.75">
      <c r="A136" s="109" t="s">
        <v>104</v>
      </c>
      <c r="B136" s="110"/>
      <c r="C136" s="109" t="s">
        <v>173</v>
      </c>
      <c r="D136" s="110"/>
      <c r="E136" s="110"/>
      <c r="F136" s="109" t="s">
        <v>286</v>
      </c>
      <c r="G136" s="110"/>
      <c r="H136" s="110"/>
      <c r="I136" s="110"/>
      <c r="J136" s="110"/>
      <c r="K136" s="110"/>
      <c r="L136" s="109" t="s">
        <v>474</v>
      </c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09" t="s">
        <v>555</v>
      </c>
      <c r="AZ136" s="110"/>
      <c r="BA136" s="89">
        <v>1</v>
      </c>
      <c r="BB136" s="90"/>
      <c r="BC136" s="90"/>
      <c r="BD136" s="90"/>
      <c r="BE136" s="90"/>
      <c r="BF136" s="94"/>
      <c r="BG136" s="88"/>
      <c r="BH136" s="88"/>
      <c r="BI136" s="88"/>
      <c r="BJ136" s="88"/>
      <c r="BK136" s="88"/>
      <c r="BL136" s="88"/>
      <c r="BM136" s="88"/>
      <c r="BN136" s="89">
        <f t="shared" si="9"/>
        <v>0</v>
      </c>
      <c r="BO136" s="90"/>
      <c r="BP136" s="90"/>
      <c r="BQ136" s="90"/>
      <c r="BR136" s="90"/>
      <c r="BS136" s="90"/>
      <c r="BT136" s="90"/>
      <c r="BU136" s="90"/>
      <c r="IR136" s="10">
        <f>BF136*0.875759577278732</f>
        <v>0</v>
      </c>
      <c r="IS136" s="10">
        <f>BF136*(1-0.875759577278732)</f>
        <v>0</v>
      </c>
    </row>
    <row r="137" spans="1:253" ht="12.75">
      <c r="A137" s="109" t="s">
        <v>105</v>
      </c>
      <c r="B137" s="110"/>
      <c r="C137" s="109" t="s">
        <v>173</v>
      </c>
      <c r="D137" s="110"/>
      <c r="E137" s="110"/>
      <c r="F137" s="109" t="s">
        <v>287</v>
      </c>
      <c r="G137" s="110"/>
      <c r="H137" s="110"/>
      <c r="I137" s="110"/>
      <c r="J137" s="110"/>
      <c r="K137" s="110"/>
      <c r="L137" s="109" t="s">
        <v>738</v>
      </c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09" t="s">
        <v>556</v>
      </c>
      <c r="AZ137" s="110"/>
      <c r="BA137" s="89">
        <v>34</v>
      </c>
      <c r="BB137" s="90"/>
      <c r="BC137" s="90"/>
      <c r="BD137" s="90"/>
      <c r="BE137" s="90"/>
      <c r="BF137" s="94"/>
      <c r="BG137" s="88"/>
      <c r="BH137" s="88"/>
      <c r="BI137" s="88"/>
      <c r="BJ137" s="88"/>
      <c r="BK137" s="88"/>
      <c r="BL137" s="88"/>
      <c r="BM137" s="88"/>
      <c r="BN137" s="89">
        <f t="shared" si="9"/>
        <v>0</v>
      </c>
      <c r="BO137" s="90"/>
      <c r="BP137" s="90"/>
      <c r="BQ137" s="90"/>
      <c r="BR137" s="90"/>
      <c r="BS137" s="90"/>
      <c r="BT137" s="90"/>
      <c r="BU137" s="90"/>
      <c r="IR137" s="10">
        <f>BF137*0.335972222222222</f>
        <v>0</v>
      </c>
      <c r="IS137" s="10">
        <f>BF137*(1-0.335972222222222)</f>
        <v>0</v>
      </c>
    </row>
    <row r="138" spans="1:253" ht="12.75">
      <c r="A138" s="109" t="s">
        <v>106</v>
      </c>
      <c r="B138" s="110"/>
      <c r="C138" s="109" t="s">
        <v>173</v>
      </c>
      <c r="D138" s="110"/>
      <c r="E138" s="110"/>
      <c r="F138" s="109" t="s">
        <v>288</v>
      </c>
      <c r="G138" s="110"/>
      <c r="H138" s="110"/>
      <c r="I138" s="110"/>
      <c r="J138" s="110"/>
      <c r="K138" s="110"/>
      <c r="L138" s="109" t="s">
        <v>739</v>
      </c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09" t="s">
        <v>556</v>
      </c>
      <c r="AZ138" s="110"/>
      <c r="BA138" s="89">
        <v>31</v>
      </c>
      <c r="BB138" s="90"/>
      <c r="BC138" s="90"/>
      <c r="BD138" s="90"/>
      <c r="BE138" s="90"/>
      <c r="BF138" s="94"/>
      <c r="BG138" s="88"/>
      <c r="BH138" s="88"/>
      <c r="BI138" s="88"/>
      <c r="BJ138" s="88"/>
      <c r="BK138" s="88"/>
      <c r="BL138" s="88"/>
      <c r="BM138" s="88"/>
      <c r="BN138" s="89">
        <f t="shared" si="9"/>
        <v>0</v>
      </c>
      <c r="BO138" s="90"/>
      <c r="BP138" s="90"/>
      <c r="BQ138" s="90"/>
      <c r="BR138" s="90"/>
      <c r="BS138" s="90"/>
      <c r="BT138" s="90"/>
      <c r="BU138" s="90"/>
      <c r="IR138" s="10">
        <f>BF138*0.509137577002054</f>
        <v>0</v>
      </c>
      <c r="IS138" s="10">
        <f>BF138*(1-0.509137577002054)</f>
        <v>0</v>
      </c>
    </row>
    <row r="139" spans="1:253" ht="12.75">
      <c r="A139" s="109" t="s">
        <v>107</v>
      </c>
      <c r="B139" s="110"/>
      <c r="C139" s="109" t="s">
        <v>173</v>
      </c>
      <c r="D139" s="110"/>
      <c r="E139" s="110"/>
      <c r="F139" s="109" t="s">
        <v>289</v>
      </c>
      <c r="G139" s="110"/>
      <c r="H139" s="110"/>
      <c r="I139" s="110"/>
      <c r="J139" s="110"/>
      <c r="K139" s="110"/>
      <c r="L139" s="109" t="s">
        <v>477</v>
      </c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09" t="s">
        <v>556</v>
      </c>
      <c r="AZ139" s="110"/>
      <c r="BA139" s="89">
        <v>64.4</v>
      </c>
      <c r="BB139" s="90"/>
      <c r="BC139" s="90"/>
      <c r="BD139" s="90"/>
      <c r="BE139" s="90"/>
      <c r="BF139" s="94"/>
      <c r="BG139" s="88"/>
      <c r="BH139" s="88"/>
      <c r="BI139" s="88"/>
      <c r="BJ139" s="88"/>
      <c r="BK139" s="88"/>
      <c r="BL139" s="88"/>
      <c r="BM139" s="88"/>
      <c r="BN139" s="89">
        <f t="shared" si="9"/>
        <v>0</v>
      </c>
      <c r="BO139" s="90"/>
      <c r="BP139" s="90"/>
      <c r="BQ139" s="90"/>
      <c r="BR139" s="90"/>
      <c r="BS139" s="90"/>
      <c r="BT139" s="90"/>
      <c r="BU139" s="90"/>
      <c r="IR139" s="10">
        <f>BF139*0.0535055350553506</f>
        <v>0</v>
      </c>
      <c r="IS139" s="10">
        <f>BF139*(1-0.0535055350553506)</f>
        <v>0</v>
      </c>
    </row>
    <row r="140" spans="1:253" ht="12.75">
      <c r="A140" s="109" t="s">
        <v>108</v>
      </c>
      <c r="B140" s="110"/>
      <c r="C140" s="109" t="s">
        <v>173</v>
      </c>
      <c r="D140" s="110"/>
      <c r="E140" s="110"/>
      <c r="F140" s="109" t="s">
        <v>290</v>
      </c>
      <c r="G140" s="110"/>
      <c r="H140" s="110"/>
      <c r="I140" s="110"/>
      <c r="J140" s="110"/>
      <c r="K140" s="110"/>
      <c r="L140" s="109" t="s">
        <v>478</v>
      </c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09" t="s">
        <v>556</v>
      </c>
      <c r="AZ140" s="110"/>
      <c r="BA140" s="89">
        <v>64.4</v>
      </c>
      <c r="BB140" s="90"/>
      <c r="BC140" s="90"/>
      <c r="BD140" s="90"/>
      <c r="BE140" s="90"/>
      <c r="BF140" s="94"/>
      <c r="BG140" s="88"/>
      <c r="BH140" s="88"/>
      <c r="BI140" s="88"/>
      <c r="BJ140" s="88"/>
      <c r="BK140" s="88"/>
      <c r="BL140" s="88"/>
      <c r="BM140" s="88"/>
      <c r="BN140" s="89">
        <f t="shared" si="9"/>
        <v>0</v>
      </c>
      <c r="BO140" s="90"/>
      <c r="BP140" s="90"/>
      <c r="BQ140" s="90"/>
      <c r="BR140" s="90"/>
      <c r="BS140" s="90"/>
      <c r="BT140" s="90"/>
      <c r="BU140" s="90"/>
      <c r="IR140" s="10">
        <f>BF140*0.0160183066361556</f>
        <v>0</v>
      </c>
      <c r="IS140" s="10">
        <f>BF140*(1-0.0160183066361556)</f>
        <v>0</v>
      </c>
    </row>
    <row r="141" spans="1:253" ht="12.75">
      <c r="A141" s="109" t="s">
        <v>109</v>
      </c>
      <c r="B141" s="110"/>
      <c r="C141" s="109" t="s">
        <v>173</v>
      </c>
      <c r="D141" s="110"/>
      <c r="E141" s="110"/>
      <c r="F141" s="109" t="s">
        <v>291</v>
      </c>
      <c r="G141" s="110"/>
      <c r="H141" s="110"/>
      <c r="I141" s="110"/>
      <c r="J141" s="110"/>
      <c r="K141" s="110"/>
      <c r="L141" s="109" t="s">
        <v>479</v>
      </c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09" t="s">
        <v>553</v>
      </c>
      <c r="AZ141" s="110"/>
      <c r="BA141" s="89">
        <v>0.04</v>
      </c>
      <c r="BB141" s="90"/>
      <c r="BC141" s="90"/>
      <c r="BD141" s="90"/>
      <c r="BE141" s="90"/>
      <c r="BF141" s="94"/>
      <c r="BG141" s="88"/>
      <c r="BH141" s="88"/>
      <c r="BI141" s="88"/>
      <c r="BJ141" s="88"/>
      <c r="BK141" s="88"/>
      <c r="BL141" s="88"/>
      <c r="BM141" s="88"/>
      <c r="BN141" s="89">
        <f t="shared" si="9"/>
        <v>0</v>
      </c>
      <c r="BO141" s="90"/>
      <c r="BP141" s="90"/>
      <c r="BQ141" s="90"/>
      <c r="BR141" s="90"/>
      <c r="BS141" s="90"/>
      <c r="BT141" s="90"/>
      <c r="BU141" s="90"/>
      <c r="IR141" s="10">
        <f>BF141*0</f>
        <v>0</v>
      </c>
      <c r="IS141" s="10">
        <f>BF141*(1-0)</f>
        <v>0</v>
      </c>
    </row>
    <row r="142" spans="1:253" ht="12.75">
      <c r="A142" s="109" t="s">
        <v>110</v>
      </c>
      <c r="B142" s="110"/>
      <c r="C142" s="109" t="s">
        <v>173</v>
      </c>
      <c r="D142" s="110"/>
      <c r="E142" s="110"/>
      <c r="F142" s="109" t="s">
        <v>292</v>
      </c>
      <c r="G142" s="110"/>
      <c r="H142" s="110"/>
      <c r="I142" s="110"/>
      <c r="J142" s="110"/>
      <c r="K142" s="110"/>
      <c r="L142" s="109" t="s">
        <v>480</v>
      </c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09" t="s">
        <v>558</v>
      </c>
      <c r="AZ142" s="110"/>
      <c r="BA142" s="89">
        <v>1</v>
      </c>
      <c r="BB142" s="90"/>
      <c r="BC142" s="90"/>
      <c r="BD142" s="90"/>
      <c r="BE142" s="90"/>
      <c r="BF142" s="94"/>
      <c r="BG142" s="88"/>
      <c r="BH142" s="88"/>
      <c r="BI142" s="88"/>
      <c r="BJ142" s="88"/>
      <c r="BK142" s="88"/>
      <c r="BL142" s="88"/>
      <c r="BM142" s="88"/>
      <c r="BN142" s="89">
        <f t="shared" si="9"/>
        <v>0</v>
      </c>
      <c r="BO142" s="90"/>
      <c r="BP142" s="90"/>
      <c r="BQ142" s="90"/>
      <c r="BR142" s="90"/>
      <c r="BS142" s="90"/>
      <c r="BT142" s="90"/>
      <c r="BU142" s="90"/>
      <c r="IR142" s="10">
        <f>BF142*0.875444839857651</f>
        <v>0</v>
      </c>
      <c r="IS142" s="10">
        <f>BF142*(1-0.875444839857651)</f>
        <v>0</v>
      </c>
    </row>
    <row r="143" spans="1:253" ht="12.75">
      <c r="A143" s="109" t="s">
        <v>111</v>
      </c>
      <c r="B143" s="110"/>
      <c r="C143" s="109" t="s">
        <v>173</v>
      </c>
      <c r="D143" s="110"/>
      <c r="E143" s="110"/>
      <c r="F143" s="109" t="s">
        <v>293</v>
      </c>
      <c r="G143" s="110"/>
      <c r="H143" s="110"/>
      <c r="I143" s="110"/>
      <c r="J143" s="110"/>
      <c r="K143" s="110"/>
      <c r="L143" s="109" t="s">
        <v>481</v>
      </c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09" t="s">
        <v>557</v>
      </c>
      <c r="AZ143" s="110"/>
      <c r="BA143" s="89">
        <v>1</v>
      </c>
      <c r="BB143" s="90"/>
      <c r="BC143" s="90"/>
      <c r="BD143" s="90"/>
      <c r="BE143" s="90"/>
      <c r="BF143" s="94"/>
      <c r="BG143" s="88"/>
      <c r="BH143" s="88"/>
      <c r="BI143" s="88"/>
      <c r="BJ143" s="88"/>
      <c r="BK143" s="88"/>
      <c r="BL143" s="88"/>
      <c r="BM143" s="88"/>
      <c r="BN143" s="89">
        <f t="shared" si="9"/>
        <v>0</v>
      </c>
      <c r="BO143" s="90"/>
      <c r="BP143" s="90"/>
      <c r="BQ143" s="90"/>
      <c r="BR143" s="90"/>
      <c r="BS143" s="90"/>
      <c r="BT143" s="90"/>
      <c r="BU143" s="90"/>
      <c r="IR143" s="10">
        <f>BF143*0.851648351648352</f>
        <v>0</v>
      </c>
      <c r="IS143" s="10">
        <f>BF143*(1-0.851648351648352)</f>
        <v>0</v>
      </c>
    </row>
    <row r="144" spans="1:253" ht="12.75">
      <c r="A144" s="109" t="s">
        <v>112</v>
      </c>
      <c r="B144" s="110"/>
      <c r="C144" s="109" t="s">
        <v>173</v>
      </c>
      <c r="D144" s="110"/>
      <c r="E144" s="110"/>
      <c r="F144" s="109" t="s">
        <v>294</v>
      </c>
      <c r="G144" s="110"/>
      <c r="H144" s="110"/>
      <c r="I144" s="110"/>
      <c r="J144" s="110"/>
      <c r="K144" s="110"/>
      <c r="L144" s="109" t="s">
        <v>482</v>
      </c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09" t="s">
        <v>557</v>
      </c>
      <c r="AZ144" s="110"/>
      <c r="BA144" s="89">
        <v>1</v>
      </c>
      <c r="BB144" s="90"/>
      <c r="BC144" s="90"/>
      <c r="BD144" s="90"/>
      <c r="BE144" s="90"/>
      <c r="BF144" s="94"/>
      <c r="BG144" s="88"/>
      <c r="BH144" s="88"/>
      <c r="BI144" s="88"/>
      <c r="BJ144" s="88"/>
      <c r="BK144" s="88"/>
      <c r="BL144" s="88"/>
      <c r="BM144" s="88"/>
      <c r="BN144" s="89">
        <f t="shared" si="9"/>
        <v>0</v>
      </c>
      <c r="BO144" s="90"/>
      <c r="BP144" s="90"/>
      <c r="BQ144" s="90"/>
      <c r="BR144" s="90"/>
      <c r="BS144" s="90"/>
      <c r="BT144" s="90"/>
      <c r="BU144" s="90"/>
      <c r="IR144" s="10">
        <f>BF144*0.834437086092715</f>
        <v>0</v>
      </c>
      <c r="IS144" s="10">
        <f>BF144*(1-0.834437086092715)</f>
        <v>0</v>
      </c>
    </row>
    <row r="145" spans="1:73" ht="12.75">
      <c r="A145" s="102" t="s">
        <v>6</v>
      </c>
      <c r="B145" s="103"/>
      <c r="C145" s="102" t="s">
        <v>6</v>
      </c>
      <c r="D145" s="103"/>
      <c r="E145" s="103"/>
      <c r="F145" s="102" t="s">
        <v>295</v>
      </c>
      <c r="G145" s="103"/>
      <c r="H145" s="103"/>
      <c r="I145" s="103"/>
      <c r="J145" s="103"/>
      <c r="K145" s="103"/>
      <c r="L145" s="102" t="s">
        <v>483</v>
      </c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2" t="s">
        <v>6</v>
      </c>
      <c r="AZ145" s="103"/>
      <c r="BA145" s="104" t="s">
        <v>6</v>
      </c>
      <c r="BB145" s="105"/>
      <c r="BC145" s="105"/>
      <c r="BD145" s="105"/>
      <c r="BE145" s="105"/>
      <c r="BF145" s="106" t="s">
        <v>6</v>
      </c>
      <c r="BG145" s="105"/>
      <c r="BH145" s="105"/>
      <c r="BI145" s="105"/>
      <c r="BJ145" s="105"/>
      <c r="BK145" s="105"/>
      <c r="BL145" s="105"/>
      <c r="BM145" s="105"/>
      <c r="BN145" s="111">
        <f>SUM(BN146:BN154)</f>
        <v>0</v>
      </c>
      <c r="BO145" s="105"/>
      <c r="BP145" s="105"/>
      <c r="BQ145" s="105"/>
      <c r="BR145" s="105"/>
      <c r="BS145" s="105"/>
      <c r="BT145" s="105"/>
      <c r="BU145" s="105"/>
    </row>
    <row r="146" spans="1:253" ht="12.75">
      <c r="A146" s="109" t="s">
        <v>113</v>
      </c>
      <c r="B146" s="110"/>
      <c r="C146" s="109" t="s">
        <v>173</v>
      </c>
      <c r="D146" s="110"/>
      <c r="E146" s="110"/>
      <c r="F146" s="109" t="s">
        <v>296</v>
      </c>
      <c r="G146" s="110"/>
      <c r="H146" s="110"/>
      <c r="I146" s="110"/>
      <c r="J146" s="110"/>
      <c r="K146" s="110"/>
      <c r="L146" s="109" t="s">
        <v>484</v>
      </c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09" t="s">
        <v>555</v>
      </c>
      <c r="AZ146" s="110"/>
      <c r="BA146" s="89">
        <v>3</v>
      </c>
      <c r="BB146" s="90"/>
      <c r="BC146" s="90"/>
      <c r="BD146" s="90"/>
      <c r="BE146" s="90"/>
      <c r="BF146" s="94"/>
      <c r="BG146" s="88"/>
      <c r="BH146" s="88"/>
      <c r="BI146" s="88"/>
      <c r="BJ146" s="88"/>
      <c r="BK146" s="88"/>
      <c r="BL146" s="88"/>
      <c r="BM146" s="88"/>
      <c r="BN146" s="89">
        <f aca="true" t="shared" si="10" ref="BN146:BN154">IR146*BA146+IS146*BA146</f>
        <v>0</v>
      </c>
      <c r="BO146" s="90"/>
      <c r="BP146" s="90"/>
      <c r="BQ146" s="90"/>
      <c r="BR146" s="90"/>
      <c r="BS146" s="90"/>
      <c r="BT146" s="90"/>
      <c r="BU146" s="90"/>
      <c r="IR146" s="10">
        <f>BF146*0.903389423076923</f>
        <v>0</v>
      </c>
      <c r="IS146" s="10">
        <f>BF146*(1-0.903389423076923)</f>
        <v>0</v>
      </c>
    </row>
    <row r="147" spans="1:253" ht="12.75">
      <c r="A147" s="109" t="s">
        <v>114</v>
      </c>
      <c r="B147" s="110"/>
      <c r="C147" s="109" t="s">
        <v>173</v>
      </c>
      <c r="D147" s="110"/>
      <c r="E147" s="110"/>
      <c r="F147" s="109" t="s">
        <v>297</v>
      </c>
      <c r="G147" s="110"/>
      <c r="H147" s="110"/>
      <c r="I147" s="110"/>
      <c r="J147" s="110"/>
      <c r="K147" s="110"/>
      <c r="L147" s="109" t="s">
        <v>740</v>
      </c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09" t="s">
        <v>560</v>
      </c>
      <c r="AZ147" s="110"/>
      <c r="BA147" s="89">
        <v>3</v>
      </c>
      <c r="BB147" s="90"/>
      <c r="BC147" s="90"/>
      <c r="BD147" s="90"/>
      <c r="BE147" s="90"/>
      <c r="BF147" s="94"/>
      <c r="BG147" s="88"/>
      <c r="BH147" s="88"/>
      <c r="BI147" s="88"/>
      <c r="BJ147" s="88"/>
      <c r="BK147" s="88"/>
      <c r="BL147" s="88"/>
      <c r="BM147" s="88"/>
      <c r="BN147" s="89">
        <f t="shared" si="10"/>
        <v>0</v>
      </c>
      <c r="BO147" s="90"/>
      <c r="BP147" s="90"/>
      <c r="BQ147" s="90"/>
      <c r="BR147" s="90"/>
      <c r="BS147" s="90"/>
      <c r="BT147" s="90"/>
      <c r="BU147" s="90"/>
      <c r="IR147" s="10">
        <f>BF147*0.688998232944505</f>
        <v>0</v>
      </c>
      <c r="IS147" s="10">
        <f>BF147*(1-0.688998232944505)</f>
        <v>0</v>
      </c>
    </row>
    <row r="148" spans="1:253" ht="12.75">
      <c r="A148" s="109" t="s">
        <v>115</v>
      </c>
      <c r="B148" s="110"/>
      <c r="C148" s="109" t="s">
        <v>173</v>
      </c>
      <c r="D148" s="110"/>
      <c r="E148" s="110"/>
      <c r="F148" s="109" t="s">
        <v>298</v>
      </c>
      <c r="G148" s="110"/>
      <c r="H148" s="110"/>
      <c r="I148" s="110"/>
      <c r="J148" s="110"/>
      <c r="K148" s="110"/>
      <c r="L148" s="109" t="s">
        <v>741</v>
      </c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09" t="s">
        <v>560</v>
      </c>
      <c r="AZ148" s="110"/>
      <c r="BA148" s="89">
        <v>3</v>
      </c>
      <c r="BB148" s="90"/>
      <c r="BC148" s="90"/>
      <c r="BD148" s="90"/>
      <c r="BE148" s="90"/>
      <c r="BF148" s="94"/>
      <c r="BG148" s="88"/>
      <c r="BH148" s="88"/>
      <c r="BI148" s="88"/>
      <c r="BJ148" s="88"/>
      <c r="BK148" s="88"/>
      <c r="BL148" s="88"/>
      <c r="BM148" s="88"/>
      <c r="BN148" s="89">
        <f t="shared" si="10"/>
        <v>0</v>
      </c>
      <c r="BO148" s="90"/>
      <c r="BP148" s="90"/>
      <c r="BQ148" s="90"/>
      <c r="BR148" s="90"/>
      <c r="BS148" s="90"/>
      <c r="BT148" s="90"/>
      <c r="BU148" s="90"/>
      <c r="IR148" s="10">
        <f>BF148*0.892453781512605</f>
        <v>0</v>
      </c>
      <c r="IS148" s="10">
        <f>BF148*(1-0.892453781512605)</f>
        <v>0</v>
      </c>
    </row>
    <row r="149" spans="1:253" ht="12.75">
      <c r="A149" s="109" t="s">
        <v>116</v>
      </c>
      <c r="B149" s="110"/>
      <c r="C149" s="109" t="s">
        <v>173</v>
      </c>
      <c r="D149" s="110"/>
      <c r="E149" s="110"/>
      <c r="F149" s="109" t="s">
        <v>299</v>
      </c>
      <c r="G149" s="110"/>
      <c r="H149" s="110"/>
      <c r="I149" s="110"/>
      <c r="J149" s="110"/>
      <c r="K149" s="110"/>
      <c r="L149" s="109" t="s">
        <v>742</v>
      </c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09" t="s">
        <v>560</v>
      </c>
      <c r="AZ149" s="110"/>
      <c r="BA149" s="89">
        <v>1</v>
      </c>
      <c r="BB149" s="90"/>
      <c r="BC149" s="90"/>
      <c r="BD149" s="90"/>
      <c r="BE149" s="90"/>
      <c r="BF149" s="94"/>
      <c r="BG149" s="88"/>
      <c r="BH149" s="88"/>
      <c r="BI149" s="88"/>
      <c r="BJ149" s="88"/>
      <c r="BK149" s="88"/>
      <c r="BL149" s="88"/>
      <c r="BM149" s="88"/>
      <c r="BN149" s="89">
        <f t="shared" si="10"/>
        <v>0</v>
      </c>
      <c r="BO149" s="90"/>
      <c r="BP149" s="90"/>
      <c r="BQ149" s="90"/>
      <c r="BR149" s="90"/>
      <c r="BS149" s="90"/>
      <c r="BT149" s="90"/>
      <c r="BU149" s="90"/>
      <c r="IR149" s="10">
        <f>BF149*0.890494766888677</f>
        <v>0</v>
      </c>
      <c r="IS149" s="10">
        <f>BF149*(1-0.890494766888677)</f>
        <v>0</v>
      </c>
    </row>
    <row r="150" spans="1:253" ht="12.75">
      <c r="A150" s="109" t="s">
        <v>117</v>
      </c>
      <c r="B150" s="110"/>
      <c r="C150" s="109" t="s">
        <v>173</v>
      </c>
      <c r="D150" s="110"/>
      <c r="E150" s="110"/>
      <c r="F150" s="109" t="s">
        <v>300</v>
      </c>
      <c r="G150" s="110"/>
      <c r="H150" s="110"/>
      <c r="I150" s="110"/>
      <c r="J150" s="110"/>
      <c r="K150" s="110"/>
      <c r="L150" s="109" t="s">
        <v>488</v>
      </c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09" t="s">
        <v>555</v>
      </c>
      <c r="AZ150" s="110"/>
      <c r="BA150" s="89">
        <v>2</v>
      </c>
      <c r="BB150" s="90"/>
      <c r="BC150" s="90"/>
      <c r="BD150" s="90"/>
      <c r="BE150" s="90"/>
      <c r="BF150" s="94"/>
      <c r="BG150" s="88"/>
      <c r="BH150" s="88"/>
      <c r="BI150" s="88"/>
      <c r="BJ150" s="88"/>
      <c r="BK150" s="88"/>
      <c r="BL150" s="88"/>
      <c r="BM150" s="88"/>
      <c r="BN150" s="89">
        <f t="shared" si="10"/>
        <v>0</v>
      </c>
      <c r="BO150" s="90"/>
      <c r="BP150" s="90"/>
      <c r="BQ150" s="90"/>
      <c r="BR150" s="90"/>
      <c r="BS150" s="90"/>
      <c r="BT150" s="90"/>
      <c r="BU150" s="90"/>
      <c r="IR150" s="10">
        <f>BF150*0.865262411426102</f>
        <v>0</v>
      </c>
      <c r="IS150" s="10">
        <f>BF150*(1-0.865262411426102)</f>
        <v>0</v>
      </c>
    </row>
    <row r="151" spans="1:253" ht="12.75">
      <c r="A151" s="109" t="s">
        <v>118</v>
      </c>
      <c r="B151" s="110"/>
      <c r="C151" s="109" t="s">
        <v>173</v>
      </c>
      <c r="D151" s="110"/>
      <c r="E151" s="110"/>
      <c r="F151" s="109" t="s">
        <v>301</v>
      </c>
      <c r="G151" s="110"/>
      <c r="H151" s="110"/>
      <c r="I151" s="110"/>
      <c r="J151" s="110"/>
      <c r="K151" s="110"/>
      <c r="L151" s="109" t="s">
        <v>489</v>
      </c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09" t="s">
        <v>555</v>
      </c>
      <c r="AZ151" s="110"/>
      <c r="BA151" s="89">
        <v>1</v>
      </c>
      <c r="BB151" s="90"/>
      <c r="BC151" s="90"/>
      <c r="BD151" s="90"/>
      <c r="BE151" s="90"/>
      <c r="BF151" s="94"/>
      <c r="BG151" s="88"/>
      <c r="BH151" s="88"/>
      <c r="BI151" s="88"/>
      <c r="BJ151" s="88"/>
      <c r="BK151" s="88"/>
      <c r="BL151" s="88"/>
      <c r="BM151" s="88"/>
      <c r="BN151" s="89">
        <f t="shared" si="10"/>
        <v>0</v>
      </c>
      <c r="BO151" s="90"/>
      <c r="BP151" s="90"/>
      <c r="BQ151" s="90"/>
      <c r="BR151" s="90"/>
      <c r="BS151" s="90"/>
      <c r="BT151" s="90"/>
      <c r="BU151" s="90"/>
      <c r="IR151" s="10">
        <f>BF151*0.896421348314607</f>
        <v>0</v>
      </c>
      <c r="IS151" s="10">
        <f>BF151*(1-0.896421348314607)</f>
        <v>0</v>
      </c>
    </row>
    <row r="152" spans="1:253" ht="12.75">
      <c r="A152" s="109" t="s">
        <v>119</v>
      </c>
      <c r="B152" s="110"/>
      <c r="C152" s="109" t="s">
        <v>173</v>
      </c>
      <c r="D152" s="110"/>
      <c r="E152" s="110"/>
      <c r="F152" s="109" t="s">
        <v>302</v>
      </c>
      <c r="G152" s="110"/>
      <c r="H152" s="110"/>
      <c r="I152" s="110"/>
      <c r="J152" s="110"/>
      <c r="K152" s="110"/>
      <c r="L152" s="109" t="s">
        <v>490</v>
      </c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09" t="s">
        <v>555</v>
      </c>
      <c r="AZ152" s="110"/>
      <c r="BA152" s="89">
        <v>1</v>
      </c>
      <c r="BB152" s="90"/>
      <c r="BC152" s="90"/>
      <c r="BD152" s="90"/>
      <c r="BE152" s="90"/>
      <c r="BF152" s="94"/>
      <c r="BG152" s="88"/>
      <c r="BH152" s="88"/>
      <c r="BI152" s="88"/>
      <c r="BJ152" s="88"/>
      <c r="BK152" s="88"/>
      <c r="BL152" s="88"/>
      <c r="BM152" s="88"/>
      <c r="BN152" s="89">
        <f t="shared" si="10"/>
        <v>0</v>
      </c>
      <c r="BO152" s="90"/>
      <c r="BP152" s="90"/>
      <c r="BQ152" s="90"/>
      <c r="BR152" s="90"/>
      <c r="BS152" s="90"/>
      <c r="BT152" s="90"/>
      <c r="BU152" s="90"/>
      <c r="IR152" s="10">
        <f>BF152*0.904023945861531</f>
        <v>0</v>
      </c>
      <c r="IS152" s="10">
        <f>BF152*(1-0.904023945861531)</f>
        <v>0</v>
      </c>
    </row>
    <row r="153" spans="1:253" ht="12.75">
      <c r="A153" s="109" t="s">
        <v>120</v>
      </c>
      <c r="B153" s="110"/>
      <c r="C153" s="109" t="s">
        <v>173</v>
      </c>
      <c r="D153" s="110"/>
      <c r="E153" s="110"/>
      <c r="F153" s="109" t="s">
        <v>303</v>
      </c>
      <c r="G153" s="110"/>
      <c r="H153" s="110"/>
      <c r="I153" s="110"/>
      <c r="J153" s="110"/>
      <c r="K153" s="110"/>
      <c r="L153" s="109" t="s">
        <v>491</v>
      </c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09" t="s">
        <v>555</v>
      </c>
      <c r="AZ153" s="110"/>
      <c r="BA153" s="89">
        <v>1</v>
      </c>
      <c r="BB153" s="90"/>
      <c r="BC153" s="90"/>
      <c r="BD153" s="90"/>
      <c r="BE153" s="90"/>
      <c r="BF153" s="94"/>
      <c r="BG153" s="88"/>
      <c r="BH153" s="88"/>
      <c r="BI153" s="88"/>
      <c r="BJ153" s="88"/>
      <c r="BK153" s="88"/>
      <c r="BL153" s="88"/>
      <c r="BM153" s="88"/>
      <c r="BN153" s="89">
        <f t="shared" si="10"/>
        <v>0</v>
      </c>
      <c r="BO153" s="90"/>
      <c r="BP153" s="90"/>
      <c r="BQ153" s="90"/>
      <c r="BR153" s="90"/>
      <c r="BS153" s="90"/>
      <c r="BT153" s="90"/>
      <c r="BU153" s="90"/>
      <c r="IR153" s="10">
        <f>BF153*0.696193854132515</f>
        <v>0</v>
      </c>
      <c r="IS153" s="10">
        <f>BF153*(1-0.696193854132515)</f>
        <v>0</v>
      </c>
    </row>
    <row r="154" spans="1:253" ht="12.75">
      <c r="A154" s="109" t="s">
        <v>121</v>
      </c>
      <c r="B154" s="110"/>
      <c r="C154" s="109" t="s">
        <v>173</v>
      </c>
      <c r="D154" s="110"/>
      <c r="E154" s="110"/>
      <c r="F154" s="109" t="s">
        <v>304</v>
      </c>
      <c r="G154" s="110"/>
      <c r="H154" s="110"/>
      <c r="I154" s="110"/>
      <c r="J154" s="110"/>
      <c r="K154" s="110"/>
      <c r="L154" s="109" t="s">
        <v>492</v>
      </c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09" t="s">
        <v>555</v>
      </c>
      <c r="AZ154" s="110"/>
      <c r="BA154" s="89">
        <v>3</v>
      </c>
      <c r="BB154" s="90"/>
      <c r="BC154" s="90"/>
      <c r="BD154" s="90"/>
      <c r="BE154" s="90"/>
      <c r="BF154" s="94"/>
      <c r="BG154" s="88"/>
      <c r="BH154" s="88"/>
      <c r="BI154" s="88"/>
      <c r="BJ154" s="88"/>
      <c r="BK154" s="88"/>
      <c r="BL154" s="88"/>
      <c r="BM154" s="88"/>
      <c r="BN154" s="89">
        <f t="shared" si="10"/>
        <v>0</v>
      </c>
      <c r="BO154" s="90"/>
      <c r="BP154" s="90"/>
      <c r="BQ154" s="90"/>
      <c r="BR154" s="90"/>
      <c r="BS154" s="90"/>
      <c r="BT154" s="90"/>
      <c r="BU154" s="90"/>
      <c r="IR154" s="10">
        <f>BF154*0.653899697803131</f>
        <v>0</v>
      </c>
      <c r="IS154" s="10">
        <f>BF154*(1-0.653899697803131)</f>
        <v>0</v>
      </c>
    </row>
    <row r="155" spans="1:73" ht="12.75">
      <c r="A155" s="102" t="s">
        <v>6</v>
      </c>
      <c r="B155" s="103"/>
      <c r="C155" s="102" t="s">
        <v>6</v>
      </c>
      <c r="D155" s="103"/>
      <c r="E155" s="103"/>
      <c r="F155" s="102" t="s">
        <v>305</v>
      </c>
      <c r="G155" s="103"/>
      <c r="H155" s="103"/>
      <c r="I155" s="103"/>
      <c r="J155" s="103"/>
      <c r="K155" s="103"/>
      <c r="L155" s="102" t="s">
        <v>493</v>
      </c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2" t="s">
        <v>6</v>
      </c>
      <c r="AZ155" s="103"/>
      <c r="BA155" s="104" t="s">
        <v>6</v>
      </c>
      <c r="BB155" s="105"/>
      <c r="BC155" s="105"/>
      <c r="BD155" s="105"/>
      <c r="BE155" s="105"/>
      <c r="BF155" s="106" t="s">
        <v>6</v>
      </c>
      <c r="BG155" s="105"/>
      <c r="BH155" s="105"/>
      <c r="BI155" s="105"/>
      <c r="BJ155" s="105"/>
      <c r="BK155" s="105"/>
      <c r="BL155" s="105"/>
      <c r="BM155" s="105"/>
      <c r="BN155" s="111">
        <f>SUM(BN156:BN157)</f>
        <v>0</v>
      </c>
      <c r="BO155" s="105"/>
      <c r="BP155" s="105"/>
      <c r="BQ155" s="105"/>
      <c r="BR155" s="105"/>
      <c r="BS155" s="105"/>
      <c r="BT155" s="105"/>
      <c r="BU155" s="105"/>
    </row>
    <row r="156" spans="1:253" ht="12.75">
      <c r="A156" s="109" t="s">
        <v>122</v>
      </c>
      <c r="B156" s="110"/>
      <c r="C156" s="109" t="s">
        <v>173</v>
      </c>
      <c r="D156" s="110"/>
      <c r="E156" s="110"/>
      <c r="F156" s="109" t="s">
        <v>306</v>
      </c>
      <c r="G156" s="110"/>
      <c r="H156" s="110"/>
      <c r="I156" s="110"/>
      <c r="J156" s="110"/>
      <c r="K156" s="110"/>
      <c r="L156" s="109" t="s">
        <v>494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09" t="s">
        <v>560</v>
      </c>
      <c r="AZ156" s="110"/>
      <c r="BA156" s="89">
        <v>3</v>
      </c>
      <c r="BB156" s="90"/>
      <c r="BC156" s="90"/>
      <c r="BD156" s="90"/>
      <c r="BE156" s="90"/>
      <c r="BF156" s="94"/>
      <c r="BG156" s="88"/>
      <c r="BH156" s="88"/>
      <c r="BI156" s="88"/>
      <c r="BJ156" s="88"/>
      <c r="BK156" s="88"/>
      <c r="BL156" s="88"/>
      <c r="BM156" s="88"/>
      <c r="BN156" s="89">
        <f>IR156*BA156+IS156*BA156</f>
        <v>0</v>
      </c>
      <c r="BO156" s="90"/>
      <c r="BP156" s="90"/>
      <c r="BQ156" s="90"/>
      <c r="BR156" s="90"/>
      <c r="BS156" s="90"/>
      <c r="BT156" s="90"/>
      <c r="BU156" s="90"/>
      <c r="IR156" s="10">
        <f>BF156*0.926681536729642</f>
        <v>0</v>
      </c>
      <c r="IS156" s="10">
        <f>BF156*(1-0.926681536729642)</f>
        <v>0</v>
      </c>
    </row>
    <row r="157" spans="1:253" ht="12.75">
      <c r="A157" s="109" t="s">
        <v>123</v>
      </c>
      <c r="B157" s="110"/>
      <c r="C157" s="109" t="s">
        <v>173</v>
      </c>
      <c r="D157" s="110"/>
      <c r="E157" s="110"/>
      <c r="F157" s="109" t="s">
        <v>307</v>
      </c>
      <c r="G157" s="110"/>
      <c r="H157" s="110"/>
      <c r="I157" s="110"/>
      <c r="J157" s="110"/>
      <c r="K157" s="110"/>
      <c r="L157" s="109" t="s">
        <v>495</v>
      </c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09" t="s">
        <v>553</v>
      </c>
      <c r="AZ157" s="110"/>
      <c r="BA157" s="89">
        <v>0.17</v>
      </c>
      <c r="BB157" s="90"/>
      <c r="BC157" s="90"/>
      <c r="BD157" s="90"/>
      <c r="BE157" s="90"/>
      <c r="BF157" s="94"/>
      <c r="BG157" s="88"/>
      <c r="BH157" s="88"/>
      <c r="BI157" s="88"/>
      <c r="BJ157" s="88"/>
      <c r="BK157" s="88"/>
      <c r="BL157" s="88"/>
      <c r="BM157" s="88"/>
      <c r="BN157" s="89">
        <f>IR157*BA157+IS157*BA157</f>
        <v>0</v>
      </c>
      <c r="BO157" s="90"/>
      <c r="BP157" s="90"/>
      <c r="BQ157" s="90"/>
      <c r="BR157" s="90"/>
      <c r="BS157" s="90"/>
      <c r="BT157" s="90"/>
      <c r="BU157" s="90"/>
      <c r="IR157" s="10">
        <f>BF157*0</f>
        <v>0</v>
      </c>
      <c r="IS157" s="10">
        <f>BF157*(1-0)</f>
        <v>0</v>
      </c>
    </row>
    <row r="158" spans="1:73" ht="12.75">
      <c r="A158" s="112" t="s">
        <v>6</v>
      </c>
      <c r="B158" s="113"/>
      <c r="C158" s="112" t="s">
        <v>6</v>
      </c>
      <c r="D158" s="113"/>
      <c r="E158" s="113"/>
      <c r="F158" s="114" t="s">
        <v>716</v>
      </c>
      <c r="G158" s="113"/>
      <c r="H158" s="113"/>
      <c r="I158" s="113"/>
      <c r="J158" s="113"/>
      <c r="K158" s="113"/>
      <c r="L158" s="112" t="s">
        <v>496</v>
      </c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2" t="s">
        <v>6</v>
      </c>
      <c r="AZ158" s="113"/>
      <c r="BA158" s="115" t="s">
        <v>6</v>
      </c>
      <c r="BB158" s="116"/>
      <c r="BC158" s="116"/>
      <c r="BD158" s="116"/>
      <c r="BE158" s="116"/>
      <c r="BF158" s="117" t="s">
        <v>6</v>
      </c>
      <c r="BG158" s="116"/>
      <c r="BH158" s="116"/>
      <c r="BI158" s="116"/>
      <c r="BJ158" s="116"/>
      <c r="BK158" s="116"/>
      <c r="BL158" s="116"/>
      <c r="BM158" s="116"/>
      <c r="BN158" s="120">
        <f>BN159</f>
        <v>0</v>
      </c>
      <c r="BO158" s="116"/>
      <c r="BP158" s="116"/>
      <c r="BQ158" s="116"/>
      <c r="BR158" s="116"/>
      <c r="BS158" s="116"/>
      <c r="BT158" s="116"/>
      <c r="BU158" s="116"/>
    </row>
    <row r="159" spans="1:73" ht="12.75">
      <c r="A159" s="102" t="s">
        <v>6</v>
      </c>
      <c r="B159" s="103"/>
      <c r="C159" s="102" t="s">
        <v>6</v>
      </c>
      <c r="D159" s="103"/>
      <c r="E159" s="103"/>
      <c r="F159" s="102" t="s">
        <v>308</v>
      </c>
      <c r="G159" s="103"/>
      <c r="H159" s="103"/>
      <c r="I159" s="103"/>
      <c r="J159" s="103"/>
      <c r="K159" s="103"/>
      <c r="L159" s="102" t="s">
        <v>497</v>
      </c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2" t="s">
        <v>6</v>
      </c>
      <c r="AZ159" s="103"/>
      <c r="BA159" s="104" t="s">
        <v>6</v>
      </c>
      <c r="BB159" s="105"/>
      <c r="BC159" s="105"/>
      <c r="BD159" s="105"/>
      <c r="BE159" s="105"/>
      <c r="BF159" s="106" t="s">
        <v>6</v>
      </c>
      <c r="BG159" s="105"/>
      <c r="BH159" s="105"/>
      <c r="BI159" s="105"/>
      <c r="BJ159" s="105"/>
      <c r="BK159" s="105"/>
      <c r="BL159" s="105"/>
      <c r="BM159" s="105"/>
      <c r="BN159" s="111">
        <f>SUM(BN160:BN162)</f>
        <v>0</v>
      </c>
      <c r="BO159" s="105"/>
      <c r="BP159" s="105"/>
      <c r="BQ159" s="105"/>
      <c r="BR159" s="105"/>
      <c r="BS159" s="105"/>
      <c r="BT159" s="105"/>
      <c r="BU159" s="105"/>
    </row>
    <row r="160" spans="1:253" ht="12.75">
      <c r="A160" s="109" t="s">
        <v>124</v>
      </c>
      <c r="B160" s="110"/>
      <c r="C160" s="109" t="s">
        <v>174</v>
      </c>
      <c r="D160" s="110"/>
      <c r="E160" s="110"/>
      <c r="F160" s="109" t="s">
        <v>309</v>
      </c>
      <c r="G160" s="110"/>
      <c r="H160" s="110"/>
      <c r="I160" s="110"/>
      <c r="J160" s="110"/>
      <c r="K160" s="110"/>
      <c r="L160" s="109" t="s">
        <v>498</v>
      </c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09" t="s">
        <v>555</v>
      </c>
      <c r="AZ160" s="110"/>
      <c r="BA160" s="89">
        <v>3</v>
      </c>
      <c r="BB160" s="90"/>
      <c r="BC160" s="90"/>
      <c r="BD160" s="90"/>
      <c r="BE160" s="90"/>
      <c r="BF160" s="94"/>
      <c r="BG160" s="88"/>
      <c r="BH160" s="88"/>
      <c r="BI160" s="88"/>
      <c r="BJ160" s="88"/>
      <c r="BK160" s="88"/>
      <c r="BL160" s="88"/>
      <c r="BM160" s="88"/>
      <c r="BN160" s="89">
        <f>IR160*BA160+IS160*BA160</f>
        <v>0</v>
      </c>
      <c r="BO160" s="90"/>
      <c r="BP160" s="90"/>
      <c r="BQ160" s="90"/>
      <c r="BR160" s="90"/>
      <c r="BS160" s="90"/>
      <c r="BT160" s="90"/>
      <c r="BU160" s="90"/>
      <c r="IR160" s="10">
        <f>BF160*0.534883720930233</f>
        <v>0</v>
      </c>
      <c r="IS160" s="10">
        <f>BF160*(1-0.534883720930233)</f>
        <v>0</v>
      </c>
    </row>
    <row r="161" spans="1:253" ht="12.75">
      <c r="A161" s="109" t="s">
        <v>125</v>
      </c>
      <c r="B161" s="110"/>
      <c r="C161" s="109" t="s">
        <v>174</v>
      </c>
      <c r="D161" s="110"/>
      <c r="E161" s="110"/>
      <c r="F161" s="109" t="s">
        <v>310</v>
      </c>
      <c r="G161" s="110"/>
      <c r="H161" s="110"/>
      <c r="I161" s="110"/>
      <c r="J161" s="110"/>
      <c r="K161" s="110"/>
      <c r="L161" s="109" t="s">
        <v>499</v>
      </c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09" t="s">
        <v>555</v>
      </c>
      <c r="AZ161" s="110"/>
      <c r="BA161" s="89">
        <v>6</v>
      </c>
      <c r="BB161" s="90"/>
      <c r="BC161" s="90"/>
      <c r="BD161" s="90"/>
      <c r="BE161" s="90"/>
      <c r="BF161" s="94"/>
      <c r="BG161" s="88"/>
      <c r="BH161" s="88"/>
      <c r="BI161" s="88"/>
      <c r="BJ161" s="88"/>
      <c r="BK161" s="88"/>
      <c r="BL161" s="88"/>
      <c r="BM161" s="88"/>
      <c r="BN161" s="89">
        <f>IR161*BA161+IS161*BA161</f>
        <v>0</v>
      </c>
      <c r="BO161" s="90"/>
      <c r="BP161" s="90"/>
      <c r="BQ161" s="90"/>
      <c r="BR161" s="90"/>
      <c r="BS161" s="90"/>
      <c r="BT161" s="90"/>
      <c r="BU161" s="90"/>
      <c r="IR161" s="10">
        <f>BF161*0.736842105263158</f>
        <v>0</v>
      </c>
      <c r="IS161" s="10">
        <f>BF161*(1-0.736842105263158)</f>
        <v>0</v>
      </c>
    </row>
    <row r="162" spans="1:253" ht="12.75">
      <c r="A162" s="109" t="s">
        <v>126</v>
      </c>
      <c r="B162" s="110"/>
      <c r="C162" s="109" t="s">
        <v>174</v>
      </c>
      <c r="D162" s="110"/>
      <c r="E162" s="110"/>
      <c r="F162" s="109" t="s">
        <v>311</v>
      </c>
      <c r="G162" s="110"/>
      <c r="H162" s="110"/>
      <c r="I162" s="110"/>
      <c r="J162" s="110"/>
      <c r="K162" s="110"/>
      <c r="L162" s="109" t="s">
        <v>500</v>
      </c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09" t="s">
        <v>555</v>
      </c>
      <c r="AZ162" s="110"/>
      <c r="BA162" s="89">
        <v>2</v>
      </c>
      <c r="BB162" s="90"/>
      <c r="BC162" s="90"/>
      <c r="BD162" s="90"/>
      <c r="BE162" s="90"/>
      <c r="BF162" s="94"/>
      <c r="BG162" s="88"/>
      <c r="BH162" s="88"/>
      <c r="BI162" s="88"/>
      <c r="BJ162" s="88"/>
      <c r="BK162" s="88"/>
      <c r="BL162" s="88"/>
      <c r="BM162" s="88"/>
      <c r="BN162" s="89">
        <f>IR162*BA162+IS162*BA162</f>
        <v>0</v>
      </c>
      <c r="BO162" s="90"/>
      <c r="BP162" s="90"/>
      <c r="BQ162" s="90"/>
      <c r="BR162" s="90"/>
      <c r="BS162" s="90"/>
      <c r="BT162" s="90"/>
      <c r="BU162" s="90"/>
      <c r="IR162" s="10">
        <f>BF162*0.926121372031662</f>
        <v>0</v>
      </c>
      <c r="IS162" s="10">
        <f>BF162*(1-0.926121372031662)</f>
        <v>0</v>
      </c>
    </row>
    <row r="163" spans="1:73" ht="12.75">
      <c r="A163" s="112" t="s">
        <v>6</v>
      </c>
      <c r="B163" s="113"/>
      <c r="C163" s="112" t="s">
        <v>6</v>
      </c>
      <c r="D163" s="113"/>
      <c r="E163" s="113"/>
      <c r="F163" s="114" t="s">
        <v>717</v>
      </c>
      <c r="G163" s="113"/>
      <c r="H163" s="113"/>
      <c r="I163" s="113"/>
      <c r="J163" s="113"/>
      <c r="K163" s="113"/>
      <c r="L163" s="112" t="s">
        <v>501</v>
      </c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2" t="s">
        <v>6</v>
      </c>
      <c r="AZ163" s="113"/>
      <c r="BA163" s="115" t="s">
        <v>6</v>
      </c>
      <c r="BB163" s="116"/>
      <c r="BC163" s="116"/>
      <c r="BD163" s="116"/>
      <c r="BE163" s="116"/>
      <c r="BF163" s="117" t="s">
        <v>6</v>
      </c>
      <c r="BG163" s="116"/>
      <c r="BH163" s="116"/>
      <c r="BI163" s="116"/>
      <c r="BJ163" s="116"/>
      <c r="BK163" s="116"/>
      <c r="BL163" s="116"/>
      <c r="BM163" s="116"/>
      <c r="BN163" s="120">
        <f>BN164+BN166+BN187</f>
        <v>0</v>
      </c>
      <c r="BO163" s="116"/>
      <c r="BP163" s="116"/>
      <c r="BQ163" s="116"/>
      <c r="BR163" s="116"/>
      <c r="BS163" s="116"/>
      <c r="BT163" s="116"/>
      <c r="BU163" s="116"/>
    </row>
    <row r="164" spans="1:73" ht="12.75">
      <c r="A164" s="102" t="s">
        <v>6</v>
      </c>
      <c r="B164" s="103"/>
      <c r="C164" s="102" t="s">
        <v>6</v>
      </c>
      <c r="D164" s="103"/>
      <c r="E164" s="103"/>
      <c r="F164" s="102" t="s">
        <v>312</v>
      </c>
      <c r="G164" s="103"/>
      <c r="H164" s="103"/>
      <c r="I164" s="103"/>
      <c r="J164" s="103"/>
      <c r="K164" s="103"/>
      <c r="L164" s="102" t="s">
        <v>502</v>
      </c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2" t="s">
        <v>6</v>
      </c>
      <c r="AZ164" s="103"/>
      <c r="BA164" s="104" t="s">
        <v>6</v>
      </c>
      <c r="BB164" s="105"/>
      <c r="BC164" s="105"/>
      <c r="BD164" s="105"/>
      <c r="BE164" s="105"/>
      <c r="BF164" s="106" t="s">
        <v>6</v>
      </c>
      <c r="BG164" s="105"/>
      <c r="BH164" s="105"/>
      <c r="BI164" s="105"/>
      <c r="BJ164" s="105"/>
      <c r="BK164" s="105"/>
      <c r="BL164" s="105"/>
      <c r="BM164" s="105"/>
      <c r="BN164" s="111">
        <f>SUM(BN165:BN165)</f>
        <v>0</v>
      </c>
      <c r="BO164" s="105"/>
      <c r="BP164" s="105"/>
      <c r="BQ164" s="105"/>
      <c r="BR164" s="105"/>
      <c r="BS164" s="105"/>
      <c r="BT164" s="105"/>
      <c r="BU164" s="105"/>
    </row>
    <row r="165" spans="1:253" ht="12.75">
      <c r="A165" s="109" t="s">
        <v>127</v>
      </c>
      <c r="B165" s="110"/>
      <c r="C165" s="109" t="s">
        <v>175</v>
      </c>
      <c r="D165" s="110"/>
      <c r="E165" s="110"/>
      <c r="F165" s="109" t="s">
        <v>313</v>
      </c>
      <c r="G165" s="110"/>
      <c r="H165" s="110"/>
      <c r="I165" s="110"/>
      <c r="J165" s="110"/>
      <c r="K165" s="110"/>
      <c r="L165" s="109" t="s">
        <v>503</v>
      </c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09" t="s">
        <v>555</v>
      </c>
      <c r="AZ165" s="110"/>
      <c r="BA165" s="89">
        <v>3</v>
      </c>
      <c r="BB165" s="90"/>
      <c r="BC165" s="90"/>
      <c r="BD165" s="90"/>
      <c r="BE165" s="90"/>
      <c r="BF165" s="94"/>
      <c r="BG165" s="88"/>
      <c r="BH165" s="88"/>
      <c r="BI165" s="88"/>
      <c r="BJ165" s="88"/>
      <c r="BK165" s="88"/>
      <c r="BL165" s="88"/>
      <c r="BM165" s="88"/>
      <c r="BN165" s="89">
        <f>IR165*BA165+IS165*BA165</f>
        <v>0</v>
      </c>
      <c r="BO165" s="90"/>
      <c r="BP165" s="90"/>
      <c r="BQ165" s="90"/>
      <c r="BR165" s="90"/>
      <c r="BS165" s="90"/>
      <c r="BT165" s="90"/>
      <c r="BU165" s="90"/>
      <c r="IR165" s="10">
        <f>BF165*0</f>
        <v>0</v>
      </c>
      <c r="IS165" s="10">
        <f>BF165*(1-0)</f>
        <v>0</v>
      </c>
    </row>
    <row r="166" spans="1:73" ht="12.75">
      <c r="A166" s="102" t="s">
        <v>6</v>
      </c>
      <c r="B166" s="103"/>
      <c r="C166" s="102" t="s">
        <v>6</v>
      </c>
      <c r="D166" s="103"/>
      <c r="E166" s="103"/>
      <c r="F166" s="102" t="s">
        <v>260</v>
      </c>
      <c r="G166" s="103"/>
      <c r="H166" s="103"/>
      <c r="I166" s="103"/>
      <c r="J166" s="103"/>
      <c r="K166" s="103"/>
      <c r="L166" s="102" t="s">
        <v>446</v>
      </c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2" t="s">
        <v>6</v>
      </c>
      <c r="AZ166" s="103"/>
      <c r="BA166" s="104" t="s">
        <v>6</v>
      </c>
      <c r="BB166" s="105"/>
      <c r="BC166" s="105"/>
      <c r="BD166" s="105"/>
      <c r="BE166" s="105"/>
      <c r="BF166" s="106" t="s">
        <v>6</v>
      </c>
      <c r="BG166" s="105"/>
      <c r="BH166" s="105"/>
      <c r="BI166" s="105"/>
      <c r="BJ166" s="105"/>
      <c r="BK166" s="105"/>
      <c r="BL166" s="105"/>
      <c r="BM166" s="105"/>
      <c r="BN166" s="111">
        <f>SUM(BN167:BN186)</f>
        <v>0</v>
      </c>
      <c r="BO166" s="105"/>
      <c r="BP166" s="105"/>
      <c r="BQ166" s="105"/>
      <c r="BR166" s="105"/>
      <c r="BS166" s="105"/>
      <c r="BT166" s="105"/>
      <c r="BU166" s="105"/>
    </row>
    <row r="167" spans="1:253" ht="12.75">
      <c r="A167" s="109" t="s">
        <v>128</v>
      </c>
      <c r="B167" s="110"/>
      <c r="C167" s="109" t="s">
        <v>175</v>
      </c>
      <c r="D167" s="110"/>
      <c r="E167" s="110"/>
      <c r="F167" s="109" t="s">
        <v>314</v>
      </c>
      <c r="G167" s="110"/>
      <c r="H167" s="110"/>
      <c r="I167" s="110"/>
      <c r="J167" s="110"/>
      <c r="K167" s="110"/>
      <c r="L167" s="109" t="s">
        <v>504</v>
      </c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09" t="s">
        <v>556</v>
      </c>
      <c r="AZ167" s="110"/>
      <c r="BA167" s="89">
        <v>750</v>
      </c>
      <c r="BB167" s="90"/>
      <c r="BC167" s="90"/>
      <c r="BD167" s="90"/>
      <c r="BE167" s="90"/>
      <c r="BF167" s="94"/>
      <c r="BG167" s="88"/>
      <c r="BH167" s="88"/>
      <c r="BI167" s="88"/>
      <c r="BJ167" s="88"/>
      <c r="BK167" s="88"/>
      <c r="BL167" s="88"/>
      <c r="BM167" s="88"/>
      <c r="BN167" s="89">
        <f aca="true" t="shared" si="11" ref="BN167:BN186">IR167*BA167+IS167*BA167</f>
        <v>0</v>
      </c>
      <c r="BO167" s="90"/>
      <c r="BP167" s="90"/>
      <c r="BQ167" s="90"/>
      <c r="BR167" s="90"/>
      <c r="BS167" s="90"/>
      <c r="BT167" s="90"/>
      <c r="BU167" s="90"/>
      <c r="IR167" s="10">
        <f>BF167*0.24177449168207</f>
        <v>0</v>
      </c>
      <c r="IS167" s="10">
        <f>BF167*(1-0.24177449168207)</f>
        <v>0</v>
      </c>
    </row>
    <row r="168" spans="1:253" ht="12.75">
      <c r="A168" s="109" t="s">
        <v>129</v>
      </c>
      <c r="B168" s="110"/>
      <c r="C168" s="109" t="s">
        <v>175</v>
      </c>
      <c r="D168" s="110"/>
      <c r="E168" s="110"/>
      <c r="F168" s="109" t="s">
        <v>315</v>
      </c>
      <c r="G168" s="110"/>
      <c r="H168" s="110"/>
      <c r="I168" s="110"/>
      <c r="J168" s="110"/>
      <c r="K168" s="110"/>
      <c r="L168" s="109" t="s">
        <v>505</v>
      </c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09" t="s">
        <v>556</v>
      </c>
      <c r="AZ168" s="110"/>
      <c r="BA168" s="89">
        <v>980</v>
      </c>
      <c r="BB168" s="90"/>
      <c r="BC168" s="90"/>
      <c r="BD168" s="90"/>
      <c r="BE168" s="90"/>
      <c r="BF168" s="94"/>
      <c r="BG168" s="88"/>
      <c r="BH168" s="88"/>
      <c r="BI168" s="88"/>
      <c r="BJ168" s="88"/>
      <c r="BK168" s="88"/>
      <c r="BL168" s="88"/>
      <c r="BM168" s="88"/>
      <c r="BN168" s="89">
        <f t="shared" si="11"/>
        <v>0</v>
      </c>
      <c r="BO168" s="90"/>
      <c r="BP168" s="90"/>
      <c r="BQ168" s="90"/>
      <c r="BR168" s="90"/>
      <c r="BS168" s="90"/>
      <c r="BT168" s="90"/>
      <c r="BU168" s="90"/>
      <c r="IR168" s="10">
        <f>BF168*0.340353697749196</f>
        <v>0</v>
      </c>
      <c r="IS168" s="10">
        <f>BF168*(1-0.340353697749196)</f>
        <v>0</v>
      </c>
    </row>
    <row r="169" spans="1:253" ht="12.75">
      <c r="A169" s="109" t="s">
        <v>130</v>
      </c>
      <c r="B169" s="110"/>
      <c r="C169" s="109" t="s">
        <v>175</v>
      </c>
      <c r="D169" s="110"/>
      <c r="E169" s="110"/>
      <c r="F169" s="109" t="s">
        <v>316</v>
      </c>
      <c r="G169" s="110"/>
      <c r="H169" s="110"/>
      <c r="I169" s="110"/>
      <c r="J169" s="110"/>
      <c r="K169" s="110"/>
      <c r="L169" s="109" t="s">
        <v>506</v>
      </c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09" t="s">
        <v>558</v>
      </c>
      <c r="AZ169" s="110"/>
      <c r="BA169" s="89">
        <v>1</v>
      </c>
      <c r="BB169" s="90"/>
      <c r="BC169" s="90"/>
      <c r="BD169" s="90"/>
      <c r="BE169" s="90"/>
      <c r="BF169" s="94"/>
      <c r="BG169" s="88"/>
      <c r="BH169" s="88"/>
      <c r="BI169" s="88"/>
      <c r="BJ169" s="88"/>
      <c r="BK169" s="88"/>
      <c r="BL169" s="88"/>
      <c r="BM169" s="88"/>
      <c r="BN169" s="89">
        <f t="shared" si="11"/>
        <v>0</v>
      </c>
      <c r="BO169" s="90"/>
      <c r="BP169" s="90"/>
      <c r="BQ169" s="90"/>
      <c r="BR169" s="90"/>
      <c r="BS169" s="90"/>
      <c r="BT169" s="90"/>
      <c r="BU169" s="90"/>
      <c r="IR169" s="10">
        <f aca="true" t="shared" si="12" ref="IR169:IR185">BF169*1</f>
        <v>0</v>
      </c>
      <c r="IS169" s="10">
        <f aca="true" t="shared" si="13" ref="IS169:IS185">BF169*(1-1)</f>
        <v>0</v>
      </c>
    </row>
    <row r="170" spans="1:253" ht="12.75">
      <c r="A170" s="109" t="s">
        <v>131</v>
      </c>
      <c r="B170" s="110"/>
      <c r="C170" s="109" t="s">
        <v>175</v>
      </c>
      <c r="D170" s="110"/>
      <c r="E170" s="110"/>
      <c r="F170" s="109" t="s">
        <v>317</v>
      </c>
      <c r="G170" s="110"/>
      <c r="H170" s="110"/>
      <c r="I170" s="110"/>
      <c r="J170" s="110"/>
      <c r="K170" s="110"/>
      <c r="L170" s="109" t="s">
        <v>507</v>
      </c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09" t="s">
        <v>557</v>
      </c>
      <c r="AZ170" s="110"/>
      <c r="BA170" s="89">
        <v>2</v>
      </c>
      <c r="BB170" s="90"/>
      <c r="BC170" s="90"/>
      <c r="BD170" s="90"/>
      <c r="BE170" s="90"/>
      <c r="BF170" s="94"/>
      <c r="BG170" s="88"/>
      <c r="BH170" s="88"/>
      <c r="BI170" s="88"/>
      <c r="BJ170" s="88"/>
      <c r="BK170" s="88"/>
      <c r="BL170" s="88"/>
      <c r="BM170" s="88"/>
      <c r="BN170" s="89">
        <f t="shared" si="11"/>
        <v>0</v>
      </c>
      <c r="BO170" s="90"/>
      <c r="BP170" s="90"/>
      <c r="BQ170" s="90"/>
      <c r="BR170" s="90"/>
      <c r="BS170" s="90"/>
      <c r="BT170" s="90"/>
      <c r="BU170" s="90"/>
      <c r="IR170" s="10">
        <f t="shared" si="12"/>
        <v>0</v>
      </c>
      <c r="IS170" s="10">
        <f t="shared" si="13"/>
        <v>0</v>
      </c>
    </row>
    <row r="171" spans="1:253" ht="12.75">
      <c r="A171" s="109" t="s">
        <v>132</v>
      </c>
      <c r="B171" s="110"/>
      <c r="C171" s="109" t="s">
        <v>175</v>
      </c>
      <c r="D171" s="110"/>
      <c r="E171" s="110"/>
      <c r="F171" s="109" t="s">
        <v>318</v>
      </c>
      <c r="G171" s="110"/>
      <c r="H171" s="110"/>
      <c r="I171" s="110"/>
      <c r="J171" s="110"/>
      <c r="K171" s="110"/>
      <c r="L171" s="109" t="s">
        <v>508</v>
      </c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09" t="s">
        <v>557</v>
      </c>
      <c r="AZ171" s="110"/>
      <c r="BA171" s="89">
        <v>55</v>
      </c>
      <c r="BB171" s="90"/>
      <c r="BC171" s="90"/>
      <c r="BD171" s="90"/>
      <c r="BE171" s="90"/>
      <c r="BF171" s="94"/>
      <c r="BG171" s="88"/>
      <c r="BH171" s="88"/>
      <c r="BI171" s="88"/>
      <c r="BJ171" s="88"/>
      <c r="BK171" s="88"/>
      <c r="BL171" s="88"/>
      <c r="BM171" s="88"/>
      <c r="BN171" s="89">
        <f t="shared" si="11"/>
        <v>0</v>
      </c>
      <c r="BO171" s="90"/>
      <c r="BP171" s="90"/>
      <c r="BQ171" s="90"/>
      <c r="BR171" s="90"/>
      <c r="BS171" s="90"/>
      <c r="BT171" s="90"/>
      <c r="BU171" s="90"/>
      <c r="IR171" s="10">
        <f t="shared" si="12"/>
        <v>0</v>
      </c>
      <c r="IS171" s="10">
        <f t="shared" si="13"/>
        <v>0</v>
      </c>
    </row>
    <row r="172" spans="1:253" ht="12.75">
      <c r="A172" s="109" t="s">
        <v>133</v>
      </c>
      <c r="B172" s="110"/>
      <c r="C172" s="109" t="s">
        <v>175</v>
      </c>
      <c r="D172" s="110"/>
      <c r="E172" s="110"/>
      <c r="F172" s="109" t="s">
        <v>319</v>
      </c>
      <c r="G172" s="110"/>
      <c r="H172" s="110"/>
      <c r="I172" s="110"/>
      <c r="J172" s="110"/>
      <c r="K172" s="110"/>
      <c r="L172" s="109" t="s">
        <v>509</v>
      </c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09" t="s">
        <v>557</v>
      </c>
      <c r="AZ172" s="110"/>
      <c r="BA172" s="89">
        <v>4</v>
      </c>
      <c r="BB172" s="90"/>
      <c r="BC172" s="90"/>
      <c r="BD172" s="90"/>
      <c r="BE172" s="90"/>
      <c r="BF172" s="94"/>
      <c r="BG172" s="88"/>
      <c r="BH172" s="88"/>
      <c r="BI172" s="88"/>
      <c r="BJ172" s="88"/>
      <c r="BK172" s="88"/>
      <c r="BL172" s="88"/>
      <c r="BM172" s="88"/>
      <c r="BN172" s="89">
        <f t="shared" si="11"/>
        <v>0</v>
      </c>
      <c r="BO172" s="90"/>
      <c r="BP172" s="90"/>
      <c r="BQ172" s="90"/>
      <c r="BR172" s="90"/>
      <c r="BS172" s="90"/>
      <c r="BT172" s="90"/>
      <c r="BU172" s="90"/>
      <c r="IR172" s="10">
        <f t="shared" si="12"/>
        <v>0</v>
      </c>
      <c r="IS172" s="10">
        <f t="shared" si="13"/>
        <v>0</v>
      </c>
    </row>
    <row r="173" spans="1:253" ht="12.75">
      <c r="A173" s="109" t="s">
        <v>134</v>
      </c>
      <c r="B173" s="110"/>
      <c r="C173" s="109" t="s">
        <v>175</v>
      </c>
      <c r="D173" s="110"/>
      <c r="E173" s="110"/>
      <c r="F173" s="109" t="s">
        <v>320</v>
      </c>
      <c r="G173" s="110"/>
      <c r="H173" s="110"/>
      <c r="I173" s="110"/>
      <c r="J173" s="110"/>
      <c r="K173" s="110"/>
      <c r="L173" s="109" t="s">
        <v>510</v>
      </c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09" t="s">
        <v>557</v>
      </c>
      <c r="AZ173" s="110"/>
      <c r="BA173" s="89">
        <v>16</v>
      </c>
      <c r="BB173" s="90"/>
      <c r="BC173" s="90"/>
      <c r="BD173" s="90"/>
      <c r="BE173" s="90"/>
      <c r="BF173" s="94"/>
      <c r="BG173" s="88"/>
      <c r="BH173" s="88"/>
      <c r="BI173" s="88"/>
      <c r="BJ173" s="88"/>
      <c r="BK173" s="88"/>
      <c r="BL173" s="88"/>
      <c r="BM173" s="88"/>
      <c r="BN173" s="89">
        <f t="shared" si="11"/>
        <v>0</v>
      </c>
      <c r="BO173" s="90"/>
      <c r="BP173" s="90"/>
      <c r="BQ173" s="90"/>
      <c r="BR173" s="90"/>
      <c r="BS173" s="90"/>
      <c r="BT173" s="90"/>
      <c r="BU173" s="90"/>
      <c r="IR173" s="10">
        <f t="shared" si="12"/>
        <v>0</v>
      </c>
      <c r="IS173" s="10">
        <f t="shared" si="13"/>
        <v>0</v>
      </c>
    </row>
    <row r="174" spans="1:253" ht="12.75">
      <c r="A174" s="109" t="s">
        <v>135</v>
      </c>
      <c r="B174" s="110"/>
      <c r="C174" s="109" t="s">
        <v>175</v>
      </c>
      <c r="D174" s="110"/>
      <c r="E174" s="110"/>
      <c r="F174" s="109" t="s">
        <v>321</v>
      </c>
      <c r="G174" s="110"/>
      <c r="H174" s="110"/>
      <c r="I174" s="110"/>
      <c r="J174" s="110"/>
      <c r="K174" s="110"/>
      <c r="L174" s="109" t="s">
        <v>511</v>
      </c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09" t="s">
        <v>557</v>
      </c>
      <c r="AZ174" s="110"/>
      <c r="BA174" s="89">
        <v>14</v>
      </c>
      <c r="BB174" s="90"/>
      <c r="BC174" s="90"/>
      <c r="BD174" s="90"/>
      <c r="BE174" s="90"/>
      <c r="BF174" s="94"/>
      <c r="BG174" s="88"/>
      <c r="BH174" s="88"/>
      <c r="BI174" s="88"/>
      <c r="BJ174" s="88"/>
      <c r="BK174" s="88"/>
      <c r="BL174" s="88"/>
      <c r="BM174" s="88"/>
      <c r="BN174" s="89">
        <f t="shared" si="11"/>
        <v>0</v>
      </c>
      <c r="BO174" s="90"/>
      <c r="BP174" s="90"/>
      <c r="BQ174" s="90"/>
      <c r="BR174" s="90"/>
      <c r="BS174" s="90"/>
      <c r="BT174" s="90"/>
      <c r="BU174" s="90"/>
      <c r="IR174" s="10">
        <f t="shared" si="12"/>
        <v>0</v>
      </c>
      <c r="IS174" s="10">
        <f t="shared" si="13"/>
        <v>0</v>
      </c>
    </row>
    <row r="175" spans="1:253" ht="12.75">
      <c r="A175" s="109" t="s">
        <v>136</v>
      </c>
      <c r="B175" s="110"/>
      <c r="C175" s="109" t="s">
        <v>175</v>
      </c>
      <c r="D175" s="110"/>
      <c r="E175" s="110"/>
      <c r="F175" s="109" t="s">
        <v>322</v>
      </c>
      <c r="G175" s="110"/>
      <c r="H175" s="110"/>
      <c r="I175" s="110"/>
      <c r="J175" s="110"/>
      <c r="K175" s="110"/>
      <c r="L175" s="109" t="s">
        <v>512</v>
      </c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09" t="s">
        <v>557</v>
      </c>
      <c r="AZ175" s="110"/>
      <c r="BA175" s="89">
        <v>6</v>
      </c>
      <c r="BB175" s="90"/>
      <c r="BC175" s="90"/>
      <c r="BD175" s="90"/>
      <c r="BE175" s="90"/>
      <c r="BF175" s="94"/>
      <c r="BG175" s="88"/>
      <c r="BH175" s="88"/>
      <c r="BI175" s="88"/>
      <c r="BJ175" s="88"/>
      <c r="BK175" s="88"/>
      <c r="BL175" s="88"/>
      <c r="BM175" s="88"/>
      <c r="BN175" s="89">
        <f t="shared" si="11"/>
        <v>0</v>
      </c>
      <c r="BO175" s="90"/>
      <c r="BP175" s="90"/>
      <c r="BQ175" s="90"/>
      <c r="BR175" s="90"/>
      <c r="BS175" s="90"/>
      <c r="BT175" s="90"/>
      <c r="BU175" s="90"/>
      <c r="IR175" s="10">
        <f t="shared" si="12"/>
        <v>0</v>
      </c>
      <c r="IS175" s="10">
        <f t="shared" si="13"/>
        <v>0</v>
      </c>
    </row>
    <row r="176" spans="1:253" ht="12.75">
      <c r="A176" s="109" t="s">
        <v>137</v>
      </c>
      <c r="B176" s="110"/>
      <c r="C176" s="109" t="s">
        <v>175</v>
      </c>
      <c r="D176" s="110"/>
      <c r="E176" s="110"/>
      <c r="F176" s="109" t="s">
        <v>323</v>
      </c>
      <c r="G176" s="110"/>
      <c r="H176" s="110"/>
      <c r="I176" s="110"/>
      <c r="J176" s="110"/>
      <c r="K176" s="110"/>
      <c r="L176" s="109" t="s">
        <v>513</v>
      </c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09" t="s">
        <v>557</v>
      </c>
      <c r="AZ176" s="110"/>
      <c r="BA176" s="89">
        <v>3</v>
      </c>
      <c r="BB176" s="90"/>
      <c r="BC176" s="90"/>
      <c r="BD176" s="90"/>
      <c r="BE176" s="90"/>
      <c r="BF176" s="94"/>
      <c r="BG176" s="88"/>
      <c r="BH176" s="88"/>
      <c r="BI176" s="88"/>
      <c r="BJ176" s="88"/>
      <c r="BK176" s="88"/>
      <c r="BL176" s="88"/>
      <c r="BM176" s="88"/>
      <c r="BN176" s="89">
        <f t="shared" si="11"/>
        <v>0</v>
      </c>
      <c r="BO176" s="90"/>
      <c r="BP176" s="90"/>
      <c r="BQ176" s="90"/>
      <c r="BR176" s="90"/>
      <c r="BS176" s="90"/>
      <c r="BT176" s="90"/>
      <c r="BU176" s="90"/>
      <c r="IR176" s="10">
        <f t="shared" si="12"/>
        <v>0</v>
      </c>
      <c r="IS176" s="10">
        <f t="shared" si="13"/>
        <v>0</v>
      </c>
    </row>
    <row r="177" spans="1:253" ht="12.75">
      <c r="A177" s="109" t="s">
        <v>138</v>
      </c>
      <c r="B177" s="110"/>
      <c r="C177" s="109" t="s">
        <v>175</v>
      </c>
      <c r="D177" s="110"/>
      <c r="E177" s="110"/>
      <c r="F177" s="109" t="s">
        <v>324</v>
      </c>
      <c r="G177" s="110"/>
      <c r="H177" s="110"/>
      <c r="I177" s="110"/>
      <c r="J177" s="110"/>
      <c r="K177" s="110"/>
      <c r="L177" s="109" t="s">
        <v>514</v>
      </c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09" t="s">
        <v>557</v>
      </c>
      <c r="AZ177" s="110"/>
      <c r="BA177" s="89">
        <v>6</v>
      </c>
      <c r="BB177" s="90"/>
      <c r="BC177" s="90"/>
      <c r="BD177" s="90"/>
      <c r="BE177" s="90"/>
      <c r="BF177" s="94"/>
      <c r="BG177" s="88"/>
      <c r="BH177" s="88"/>
      <c r="BI177" s="88"/>
      <c r="BJ177" s="88"/>
      <c r="BK177" s="88"/>
      <c r="BL177" s="88"/>
      <c r="BM177" s="88"/>
      <c r="BN177" s="89">
        <f t="shared" si="11"/>
        <v>0</v>
      </c>
      <c r="BO177" s="90"/>
      <c r="BP177" s="90"/>
      <c r="BQ177" s="90"/>
      <c r="BR177" s="90"/>
      <c r="BS177" s="90"/>
      <c r="BT177" s="90"/>
      <c r="BU177" s="90"/>
      <c r="IR177" s="10">
        <f t="shared" si="12"/>
        <v>0</v>
      </c>
      <c r="IS177" s="10">
        <f t="shared" si="13"/>
        <v>0</v>
      </c>
    </row>
    <row r="178" spans="1:253" ht="12.75">
      <c r="A178" s="109" t="s">
        <v>139</v>
      </c>
      <c r="B178" s="110"/>
      <c r="C178" s="109" t="s">
        <v>175</v>
      </c>
      <c r="D178" s="110"/>
      <c r="E178" s="110"/>
      <c r="F178" s="109" t="s">
        <v>325</v>
      </c>
      <c r="G178" s="110"/>
      <c r="H178" s="110"/>
      <c r="I178" s="110"/>
      <c r="J178" s="110"/>
      <c r="K178" s="110"/>
      <c r="L178" s="109" t="s">
        <v>515</v>
      </c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09" t="s">
        <v>557</v>
      </c>
      <c r="AZ178" s="110"/>
      <c r="BA178" s="89">
        <v>5</v>
      </c>
      <c r="BB178" s="90"/>
      <c r="BC178" s="90"/>
      <c r="BD178" s="90"/>
      <c r="BE178" s="90"/>
      <c r="BF178" s="94"/>
      <c r="BG178" s="88"/>
      <c r="BH178" s="88"/>
      <c r="BI178" s="88"/>
      <c r="BJ178" s="88"/>
      <c r="BK178" s="88"/>
      <c r="BL178" s="88"/>
      <c r="BM178" s="88"/>
      <c r="BN178" s="89">
        <f t="shared" si="11"/>
        <v>0</v>
      </c>
      <c r="BO178" s="90"/>
      <c r="BP178" s="90"/>
      <c r="BQ178" s="90"/>
      <c r="BR178" s="90"/>
      <c r="BS178" s="90"/>
      <c r="BT178" s="90"/>
      <c r="BU178" s="90"/>
      <c r="IR178" s="10">
        <f t="shared" si="12"/>
        <v>0</v>
      </c>
      <c r="IS178" s="10">
        <f t="shared" si="13"/>
        <v>0</v>
      </c>
    </row>
    <row r="179" spans="1:253" ht="12.75">
      <c r="A179" s="109" t="s">
        <v>140</v>
      </c>
      <c r="B179" s="110"/>
      <c r="C179" s="109" t="s">
        <v>175</v>
      </c>
      <c r="D179" s="110"/>
      <c r="E179" s="110"/>
      <c r="F179" s="109" t="s">
        <v>326</v>
      </c>
      <c r="G179" s="110"/>
      <c r="H179" s="110"/>
      <c r="I179" s="110"/>
      <c r="J179" s="110"/>
      <c r="K179" s="110"/>
      <c r="L179" s="109" t="s">
        <v>516</v>
      </c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09" t="s">
        <v>557</v>
      </c>
      <c r="AZ179" s="110"/>
      <c r="BA179" s="89">
        <v>17</v>
      </c>
      <c r="BB179" s="90"/>
      <c r="BC179" s="90"/>
      <c r="BD179" s="90"/>
      <c r="BE179" s="90"/>
      <c r="BF179" s="94"/>
      <c r="BG179" s="88"/>
      <c r="BH179" s="88"/>
      <c r="BI179" s="88"/>
      <c r="BJ179" s="88"/>
      <c r="BK179" s="88"/>
      <c r="BL179" s="88"/>
      <c r="BM179" s="88"/>
      <c r="BN179" s="89">
        <f t="shared" si="11"/>
        <v>0</v>
      </c>
      <c r="BO179" s="90"/>
      <c r="BP179" s="90"/>
      <c r="BQ179" s="90"/>
      <c r="BR179" s="90"/>
      <c r="BS179" s="90"/>
      <c r="BT179" s="90"/>
      <c r="BU179" s="90"/>
      <c r="IR179" s="10">
        <f t="shared" si="12"/>
        <v>0</v>
      </c>
      <c r="IS179" s="10">
        <f t="shared" si="13"/>
        <v>0</v>
      </c>
    </row>
    <row r="180" spans="1:253" ht="12.75">
      <c r="A180" s="109" t="s">
        <v>141</v>
      </c>
      <c r="B180" s="110"/>
      <c r="C180" s="109" t="s">
        <v>175</v>
      </c>
      <c r="D180" s="110"/>
      <c r="E180" s="110"/>
      <c r="F180" s="109" t="s">
        <v>327</v>
      </c>
      <c r="G180" s="110"/>
      <c r="H180" s="110"/>
      <c r="I180" s="110"/>
      <c r="J180" s="110"/>
      <c r="K180" s="110"/>
      <c r="L180" s="109" t="s">
        <v>517</v>
      </c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09" t="s">
        <v>557</v>
      </c>
      <c r="AZ180" s="110"/>
      <c r="BA180" s="89">
        <v>13</v>
      </c>
      <c r="BB180" s="90"/>
      <c r="BC180" s="90"/>
      <c r="BD180" s="90"/>
      <c r="BE180" s="90"/>
      <c r="BF180" s="94"/>
      <c r="BG180" s="88"/>
      <c r="BH180" s="88"/>
      <c r="BI180" s="88"/>
      <c r="BJ180" s="88"/>
      <c r="BK180" s="88"/>
      <c r="BL180" s="88"/>
      <c r="BM180" s="88"/>
      <c r="BN180" s="89">
        <f t="shared" si="11"/>
        <v>0</v>
      </c>
      <c r="BO180" s="90"/>
      <c r="BP180" s="90"/>
      <c r="BQ180" s="90"/>
      <c r="BR180" s="90"/>
      <c r="BS180" s="90"/>
      <c r="BT180" s="90"/>
      <c r="BU180" s="90"/>
      <c r="IR180" s="10">
        <f t="shared" si="12"/>
        <v>0</v>
      </c>
      <c r="IS180" s="10">
        <f t="shared" si="13"/>
        <v>0</v>
      </c>
    </row>
    <row r="181" spans="1:253" ht="12.75">
      <c r="A181" s="109" t="s">
        <v>142</v>
      </c>
      <c r="B181" s="110"/>
      <c r="C181" s="109" t="s">
        <v>175</v>
      </c>
      <c r="D181" s="110"/>
      <c r="E181" s="110"/>
      <c r="F181" s="109" t="s">
        <v>328</v>
      </c>
      <c r="G181" s="110"/>
      <c r="H181" s="110"/>
      <c r="I181" s="110"/>
      <c r="J181" s="110"/>
      <c r="K181" s="110"/>
      <c r="L181" s="109" t="s">
        <v>518</v>
      </c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09" t="s">
        <v>557</v>
      </c>
      <c r="AZ181" s="110"/>
      <c r="BA181" s="89">
        <v>10</v>
      </c>
      <c r="BB181" s="90"/>
      <c r="BC181" s="90"/>
      <c r="BD181" s="90"/>
      <c r="BE181" s="90"/>
      <c r="BF181" s="94"/>
      <c r="BG181" s="88"/>
      <c r="BH181" s="88"/>
      <c r="BI181" s="88"/>
      <c r="BJ181" s="88"/>
      <c r="BK181" s="88"/>
      <c r="BL181" s="88"/>
      <c r="BM181" s="88"/>
      <c r="BN181" s="89">
        <f t="shared" si="11"/>
        <v>0</v>
      </c>
      <c r="BO181" s="90"/>
      <c r="BP181" s="90"/>
      <c r="BQ181" s="90"/>
      <c r="BR181" s="90"/>
      <c r="BS181" s="90"/>
      <c r="BT181" s="90"/>
      <c r="BU181" s="90"/>
      <c r="IR181" s="10">
        <f t="shared" si="12"/>
        <v>0</v>
      </c>
      <c r="IS181" s="10">
        <f t="shared" si="13"/>
        <v>0</v>
      </c>
    </row>
    <row r="182" spans="1:253" ht="12.75">
      <c r="A182" s="109" t="s">
        <v>143</v>
      </c>
      <c r="B182" s="110"/>
      <c r="C182" s="109" t="s">
        <v>175</v>
      </c>
      <c r="D182" s="110"/>
      <c r="E182" s="110"/>
      <c r="F182" s="109" t="s">
        <v>329</v>
      </c>
      <c r="G182" s="110"/>
      <c r="H182" s="110"/>
      <c r="I182" s="110"/>
      <c r="J182" s="110"/>
      <c r="K182" s="110"/>
      <c r="L182" s="109" t="s">
        <v>519</v>
      </c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09" t="s">
        <v>557</v>
      </c>
      <c r="AZ182" s="110"/>
      <c r="BA182" s="89">
        <v>1</v>
      </c>
      <c r="BB182" s="90"/>
      <c r="BC182" s="90"/>
      <c r="BD182" s="90"/>
      <c r="BE182" s="90"/>
      <c r="BF182" s="94"/>
      <c r="BG182" s="88"/>
      <c r="BH182" s="88"/>
      <c r="BI182" s="88"/>
      <c r="BJ182" s="88"/>
      <c r="BK182" s="88"/>
      <c r="BL182" s="88"/>
      <c r="BM182" s="88"/>
      <c r="BN182" s="89">
        <f t="shared" si="11"/>
        <v>0</v>
      </c>
      <c r="BO182" s="90"/>
      <c r="BP182" s="90"/>
      <c r="BQ182" s="90"/>
      <c r="BR182" s="90"/>
      <c r="BS182" s="90"/>
      <c r="BT182" s="90"/>
      <c r="BU182" s="90"/>
      <c r="IR182" s="10">
        <f t="shared" si="12"/>
        <v>0</v>
      </c>
      <c r="IS182" s="10">
        <f t="shared" si="13"/>
        <v>0</v>
      </c>
    </row>
    <row r="183" spans="1:253" ht="12.75">
      <c r="A183" s="109" t="s">
        <v>144</v>
      </c>
      <c r="B183" s="110"/>
      <c r="C183" s="109" t="s">
        <v>175</v>
      </c>
      <c r="D183" s="110"/>
      <c r="E183" s="110"/>
      <c r="F183" s="109" t="s">
        <v>330</v>
      </c>
      <c r="G183" s="110"/>
      <c r="H183" s="110"/>
      <c r="I183" s="110"/>
      <c r="J183" s="110"/>
      <c r="K183" s="110"/>
      <c r="L183" s="109" t="s">
        <v>520</v>
      </c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09" t="s">
        <v>558</v>
      </c>
      <c r="AZ183" s="110"/>
      <c r="BA183" s="89">
        <v>1</v>
      </c>
      <c r="BB183" s="90"/>
      <c r="BC183" s="90"/>
      <c r="BD183" s="90"/>
      <c r="BE183" s="90"/>
      <c r="BF183" s="94"/>
      <c r="BG183" s="88"/>
      <c r="BH183" s="88"/>
      <c r="BI183" s="88"/>
      <c r="BJ183" s="88"/>
      <c r="BK183" s="88"/>
      <c r="BL183" s="88"/>
      <c r="BM183" s="88"/>
      <c r="BN183" s="89">
        <f t="shared" si="11"/>
        <v>0</v>
      </c>
      <c r="BO183" s="90"/>
      <c r="BP183" s="90"/>
      <c r="BQ183" s="90"/>
      <c r="BR183" s="90"/>
      <c r="BS183" s="90"/>
      <c r="BT183" s="90"/>
      <c r="BU183" s="90"/>
      <c r="IR183" s="10">
        <f t="shared" si="12"/>
        <v>0</v>
      </c>
      <c r="IS183" s="10">
        <f t="shared" si="13"/>
        <v>0</v>
      </c>
    </row>
    <row r="184" spans="1:253" ht="12.75">
      <c r="A184" s="109" t="s">
        <v>145</v>
      </c>
      <c r="B184" s="110"/>
      <c r="C184" s="109" t="s">
        <v>175</v>
      </c>
      <c r="D184" s="110"/>
      <c r="E184" s="110"/>
      <c r="F184" s="109" t="s">
        <v>331</v>
      </c>
      <c r="G184" s="110"/>
      <c r="H184" s="110"/>
      <c r="I184" s="110"/>
      <c r="J184" s="110"/>
      <c r="K184" s="110"/>
      <c r="L184" s="109" t="s">
        <v>521</v>
      </c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09" t="s">
        <v>557</v>
      </c>
      <c r="AZ184" s="110"/>
      <c r="BA184" s="89">
        <v>1</v>
      </c>
      <c r="BB184" s="90"/>
      <c r="BC184" s="90"/>
      <c r="BD184" s="90"/>
      <c r="BE184" s="90"/>
      <c r="BF184" s="94"/>
      <c r="BG184" s="88"/>
      <c r="BH184" s="88"/>
      <c r="BI184" s="88"/>
      <c r="BJ184" s="88"/>
      <c r="BK184" s="88"/>
      <c r="BL184" s="88"/>
      <c r="BM184" s="88"/>
      <c r="BN184" s="89">
        <f t="shared" si="11"/>
        <v>0</v>
      </c>
      <c r="BO184" s="90"/>
      <c r="BP184" s="90"/>
      <c r="BQ184" s="90"/>
      <c r="BR184" s="90"/>
      <c r="BS184" s="90"/>
      <c r="BT184" s="90"/>
      <c r="BU184" s="90"/>
      <c r="IR184" s="10">
        <f t="shared" si="12"/>
        <v>0</v>
      </c>
      <c r="IS184" s="10">
        <f t="shared" si="13"/>
        <v>0</v>
      </c>
    </row>
    <row r="185" spans="1:253" ht="12.75">
      <c r="A185" s="109" t="s">
        <v>146</v>
      </c>
      <c r="B185" s="110"/>
      <c r="C185" s="109" t="s">
        <v>175</v>
      </c>
      <c r="D185" s="110"/>
      <c r="E185" s="110"/>
      <c r="F185" s="109" t="s">
        <v>332</v>
      </c>
      <c r="G185" s="110"/>
      <c r="H185" s="110"/>
      <c r="I185" s="110"/>
      <c r="J185" s="110"/>
      <c r="K185" s="110"/>
      <c r="L185" s="109" t="s">
        <v>522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09" t="s">
        <v>557</v>
      </c>
      <c r="AZ185" s="110"/>
      <c r="BA185" s="89">
        <v>1</v>
      </c>
      <c r="BB185" s="90"/>
      <c r="BC185" s="90"/>
      <c r="BD185" s="90"/>
      <c r="BE185" s="90"/>
      <c r="BF185" s="94"/>
      <c r="BG185" s="88"/>
      <c r="BH185" s="88"/>
      <c r="BI185" s="88"/>
      <c r="BJ185" s="88"/>
      <c r="BK185" s="88"/>
      <c r="BL185" s="88"/>
      <c r="BM185" s="88"/>
      <c r="BN185" s="89">
        <f t="shared" si="11"/>
        <v>0</v>
      </c>
      <c r="BO185" s="90"/>
      <c r="BP185" s="90"/>
      <c r="BQ185" s="90"/>
      <c r="BR185" s="90"/>
      <c r="BS185" s="90"/>
      <c r="BT185" s="90"/>
      <c r="BU185" s="90"/>
      <c r="IR185" s="10">
        <f t="shared" si="12"/>
        <v>0</v>
      </c>
      <c r="IS185" s="10">
        <f t="shared" si="13"/>
        <v>0</v>
      </c>
    </row>
    <row r="186" spans="1:253" ht="12.75">
      <c r="A186" s="109" t="s">
        <v>147</v>
      </c>
      <c r="B186" s="110"/>
      <c r="C186" s="109" t="s">
        <v>175</v>
      </c>
      <c r="D186" s="110"/>
      <c r="E186" s="110"/>
      <c r="F186" s="109" t="s">
        <v>333</v>
      </c>
      <c r="G186" s="110"/>
      <c r="H186" s="110"/>
      <c r="I186" s="110"/>
      <c r="J186" s="110"/>
      <c r="K186" s="110"/>
      <c r="L186" s="109" t="s">
        <v>523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09" t="s">
        <v>558</v>
      </c>
      <c r="AZ186" s="110"/>
      <c r="BA186" s="89">
        <v>1</v>
      </c>
      <c r="BB186" s="90"/>
      <c r="BC186" s="90"/>
      <c r="BD186" s="90"/>
      <c r="BE186" s="90"/>
      <c r="BF186" s="94"/>
      <c r="BG186" s="88"/>
      <c r="BH186" s="88"/>
      <c r="BI186" s="88"/>
      <c r="BJ186" s="88"/>
      <c r="BK186" s="88"/>
      <c r="BL186" s="88"/>
      <c r="BM186" s="88"/>
      <c r="BN186" s="89">
        <f t="shared" si="11"/>
        <v>0</v>
      </c>
      <c r="BO186" s="90"/>
      <c r="BP186" s="90"/>
      <c r="BQ186" s="90"/>
      <c r="BR186" s="90"/>
      <c r="BS186" s="90"/>
      <c r="BT186" s="90"/>
      <c r="BU186" s="90"/>
      <c r="IR186" s="10">
        <f>BF186*0</f>
        <v>0</v>
      </c>
      <c r="IS186" s="10">
        <f>BF186*(1-0)</f>
        <v>0</v>
      </c>
    </row>
    <row r="187" spans="1:73" ht="12.75">
      <c r="A187" s="102" t="s">
        <v>6</v>
      </c>
      <c r="B187" s="103"/>
      <c r="C187" s="102" t="s">
        <v>6</v>
      </c>
      <c r="D187" s="103"/>
      <c r="E187" s="103"/>
      <c r="F187" s="102"/>
      <c r="G187" s="103"/>
      <c r="H187" s="103"/>
      <c r="I187" s="103"/>
      <c r="J187" s="103"/>
      <c r="K187" s="103"/>
      <c r="L187" s="102" t="s">
        <v>450</v>
      </c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2" t="s">
        <v>6</v>
      </c>
      <c r="AZ187" s="103"/>
      <c r="BA187" s="104" t="s">
        <v>6</v>
      </c>
      <c r="BB187" s="105"/>
      <c r="BC187" s="105"/>
      <c r="BD187" s="105"/>
      <c r="BE187" s="105"/>
      <c r="BF187" s="106" t="s">
        <v>6</v>
      </c>
      <c r="BG187" s="105"/>
      <c r="BH187" s="105"/>
      <c r="BI187" s="105"/>
      <c r="BJ187" s="105"/>
      <c r="BK187" s="105"/>
      <c r="BL187" s="105"/>
      <c r="BM187" s="105"/>
      <c r="BN187" s="111">
        <f>SUM(BN188:BN188)</f>
        <v>0</v>
      </c>
      <c r="BO187" s="105"/>
      <c r="BP187" s="105"/>
      <c r="BQ187" s="105"/>
      <c r="BR187" s="105"/>
      <c r="BS187" s="105"/>
      <c r="BT187" s="105"/>
      <c r="BU187" s="105"/>
    </row>
    <row r="188" spans="1:253" ht="12.75">
      <c r="A188" s="92" t="s">
        <v>148</v>
      </c>
      <c r="B188" s="93"/>
      <c r="C188" s="92" t="s">
        <v>175</v>
      </c>
      <c r="D188" s="93"/>
      <c r="E188" s="93"/>
      <c r="F188" s="92" t="s">
        <v>334</v>
      </c>
      <c r="G188" s="93"/>
      <c r="H188" s="93"/>
      <c r="I188" s="93"/>
      <c r="J188" s="93"/>
      <c r="K188" s="93"/>
      <c r="L188" s="92" t="s">
        <v>743</v>
      </c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2" t="s">
        <v>555</v>
      </c>
      <c r="AZ188" s="93"/>
      <c r="BA188" s="95">
        <v>3</v>
      </c>
      <c r="BB188" s="91"/>
      <c r="BC188" s="91"/>
      <c r="BD188" s="91"/>
      <c r="BE188" s="91"/>
      <c r="BF188" s="100"/>
      <c r="BG188" s="101"/>
      <c r="BH188" s="101"/>
      <c r="BI188" s="101"/>
      <c r="BJ188" s="101"/>
      <c r="BK188" s="101"/>
      <c r="BL188" s="101"/>
      <c r="BM188" s="101"/>
      <c r="BN188" s="95">
        <f>IR188*BA188+IS188*BA188</f>
        <v>0</v>
      </c>
      <c r="BO188" s="91"/>
      <c r="BP188" s="91"/>
      <c r="BQ188" s="91"/>
      <c r="BR188" s="91"/>
      <c r="BS188" s="91"/>
      <c r="BT188" s="91"/>
      <c r="BU188" s="91"/>
      <c r="IR188" s="11">
        <f>BF188*1</f>
        <v>0</v>
      </c>
      <c r="IS188" s="11">
        <f>BF188*(1-1)</f>
        <v>0</v>
      </c>
    </row>
    <row r="189" spans="1:73" ht="12.75">
      <c r="A189" s="112" t="s">
        <v>6</v>
      </c>
      <c r="B189" s="113"/>
      <c r="C189" s="112" t="s">
        <v>6</v>
      </c>
      <c r="D189" s="113"/>
      <c r="E189" s="113"/>
      <c r="F189" s="114" t="s">
        <v>718</v>
      </c>
      <c r="G189" s="113"/>
      <c r="H189" s="113"/>
      <c r="I189" s="113"/>
      <c r="J189" s="113"/>
      <c r="K189" s="113"/>
      <c r="L189" s="114" t="s">
        <v>719</v>
      </c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2" t="s">
        <v>6</v>
      </c>
      <c r="AZ189" s="113"/>
      <c r="BA189" s="115" t="s">
        <v>6</v>
      </c>
      <c r="BB189" s="116"/>
      <c r="BC189" s="116"/>
      <c r="BD189" s="116"/>
      <c r="BE189" s="116"/>
      <c r="BF189" s="117" t="s">
        <v>6</v>
      </c>
      <c r="BG189" s="116"/>
      <c r="BH189" s="116"/>
      <c r="BI189" s="116"/>
      <c r="BJ189" s="116"/>
      <c r="BK189" s="116"/>
      <c r="BL189" s="116"/>
      <c r="BM189" s="116"/>
      <c r="BN189" s="118">
        <f>BN190+BN193+BN198+BN201+BN203+BN206+BN208+BN211+BN214+BN219</f>
        <v>0</v>
      </c>
      <c r="BO189" s="119"/>
      <c r="BP189" s="119"/>
      <c r="BQ189" s="119"/>
      <c r="BR189" s="119"/>
      <c r="BS189" s="119"/>
      <c r="BT189" s="119"/>
      <c r="BU189" s="119"/>
    </row>
    <row r="190" spans="1:73" ht="12.75">
      <c r="A190" s="102" t="s">
        <v>6</v>
      </c>
      <c r="B190" s="103"/>
      <c r="C190" s="102" t="s">
        <v>6</v>
      </c>
      <c r="D190" s="103"/>
      <c r="E190" s="103"/>
      <c r="F190" s="102" t="s">
        <v>19</v>
      </c>
      <c r="G190" s="103"/>
      <c r="H190" s="103"/>
      <c r="I190" s="103"/>
      <c r="J190" s="103"/>
      <c r="K190" s="103"/>
      <c r="L190" s="102" t="s">
        <v>350</v>
      </c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2" t="s">
        <v>6</v>
      </c>
      <c r="AZ190" s="103"/>
      <c r="BA190" s="104" t="s">
        <v>6</v>
      </c>
      <c r="BB190" s="105"/>
      <c r="BC190" s="105"/>
      <c r="BD190" s="105"/>
      <c r="BE190" s="105"/>
      <c r="BF190" s="106" t="s">
        <v>6</v>
      </c>
      <c r="BG190" s="105"/>
      <c r="BH190" s="105"/>
      <c r="BI190" s="105"/>
      <c r="BJ190" s="105"/>
      <c r="BK190" s="105"/>
      <c r="BL190" s="105"/>
      <c r="BM190" s="105"/>
      <c r="BN190" s="111">
        <f>SUM(BN191:BN192)</f>
        <v>0</v>
      </c>
      <c r="BO190" s="105"/>
      <c r="BP190" s="105"/>
      <c r="BQ190" s="105"/>
      <c r="BR190" s="105"/>
      <c r="BS190" s="105"/>
      <c r="BT190" s="105"/>
      <c r="BU190" s="105"/>
    </row>
    <row r="191" spans="1:253" ht="12.75">
      <c r="A191" s="109" t="s">
        <v>149</v>
      </c>
      <c r="B191" s="110"/>
      <c r="C191" s="109" t="s">
        <v>176</v>
      </c>
      <c r="D191" s="110"/>
      <c r="E191" s="110"/>
      <c r="F191" s="109" t="s">
        <v>335</v>
      </c>
      <c r="G191" s="110"/>
      <c r="H191" s="110"/>
      <c r="I191" s="110"/>
      <c r="J191" s="110"/>
      <c r="K191" s="110"/>
      <c r="L191" s="109" t="s">
        <v>526</v>
      </c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09" t="s">
        <v>552</v>
      </c>
      <c r="AZ191" s="110"/>
      <c r="BA191" s="89">
        <v>32.61</v>
      </c>
      <c r="BB191" s="90"/>
      <c r="BC191" s="90"/>
      <c r="BD191" s="90"/>
      <c r="BE191" s="90"/>
      <c r="BF191" s="94"/>
      <c r="BG191" s="88"/>
      <c r="BH191" s="88"/>
      <c r="BI191" s="88"/>
      <c r="BJ191" s="88"/>
      <c r="BK191" s="88"/>
      <c r="BL191" s="88"/>
      <c r="BM191" s="88"/>
      <c r="BN191" s="89">
        <f>IR191*BA191+IS191*BA191</f>
        <v>0</v>
      </c>
      <c r="BO191" s="90"/>
      <c r="BP191" s="90"/>
      <c r="BQ191" s="90"/>
      <c r="BR191" s="90"/>
      <c r="BS191" s="90"/>
      <c r="BT191" s="90"/>
      <c r="BU191" s="90"/>
      <c r="IR191" s="10">
        <f>BF191*0</f>
        <v>0</v>
      </c>
      <c r="IS191" s="10">
        <f>BF191*(1-0)</f>
        <v>0</v>
      </c>
    </row>
    <row r="192" spans="1:253" ht="12.75">
      <c r="A192" s="109" t="s">
        <v>150</v>
      </c>
      <c r="B192" s="110"/>
      <c r="C192" s="109" t="s">
        <v>176</v>
      </c>
      <c r="D192" s="110"/>
      <c r="E192" s="110"/>
      <c r="F192" s="109" t="s">
        <v>336</v>
      </c>
      <c r="G192" s="110"/>
      <c r="H192" s="110"/>
      <c r="I192" s="110"/>
      <c r="J192" s="110"/>
      <c r="K192" s="110"/>
      <c r="L192" s="109" t="s">
        <v>527</v>
      </c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09" t="s">
        <v>552</v>
      </c>
      <c r="AZ192" s="110"/>
      <c r="BA192" s="89">
        <v>23.5</v>
      </c>
      <c r="BB192" s="90"/>
      <c r="BC192" s="90"/>
      <c r="BD192" s="90"/>
      <c r="BE192" s="90"/>
      <c r="BF192" s="94"/>
      <c r="BG192" s="88"/>
      <c r="BH192" s="88"/>
      <c r="BI192" s="88"/>
      <c r="BJ192" s="88"/>
      <c r="BK192" s="88"/>
      <c r="BL192" s="88"/>
      <c r="BM192" s="88"/>
      <c r="BN192" s="89">
        <f>IR192*BA192+IS192*BA192</f>
        <v>0</v>
      </c>
      <c r="BO192" s="90"/>
      <c r="BP192" s="90"/>
      <c r="BQ192" s="90"/>
      <c r="BR192" s="90"/>
      <c r="BS192" s="90"/>
      <c r="BT192" s="90"/>
      <c r="BU192" s="90"/>
      <c r="IR192" s="10">
        <f>BF192*0</f>
        <v>0</v>
      </c>
      <c r="IS192" s="10">
        <f>BF192*(1-0)</f>
        <v>0</v>
      </c>
    </row>
    <row r="193" spans="1:73" ht="12.75">
      <c r="A193" s="102" t="s">
        <v>6</v>
      </c>
      <c r="B193" s="103"/>
      <c r="C193" s="102" t="s">
        <v>6</v>
      </c>
      <c r="D193" s="103"/>
      <c r="E193" s="103"/>
      <c r="F193" s="102" t="s">
        <v>22</v>
      </c>
      <c r="G193" s="103"/>
      <c r="H193" s="103"/>
      <c r="I193" s="103"/>
      <c r="J193" s="103"/>
      <c r="K193" s="103"/>
      <c r="L193" s="102" t="s">
        <v>353</v>
      </c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2" t="s">
        <v>6</v>
      </c>
      <c r="AZ193" s="103"/>
      <c r="BA193" s="104" t="s">
        <v>6</v>
      </c>
      <c r="BB193" s="105"/>
      <c r="BC193" s="105"/>
      <c r="BD193" s="105"/>
      <c r="BE193" s="105"/>
      <c r="BF193" s="106" t="s">
        <v>6</v>
      </c>
      <c r="BG193" s="105"/>
      <c r="BH193" s="105"/>
      <c r="BI193" s="105"/>
      <c r="BJ193" s="105"/>
      <c r="BK193" s="105"/>
      <c r="BL193" s="105"/>
      <c r="BM193" s="105"/>
      <c r="BN193" s="111">
        <f>SUM(BN194:BN197)</f>
        <v>0</v>
      </c>
      <c r="BO193" s="105"/>
      <c r="BP193" s="105"/>
      <c r="BQ193" s="105"/>
      <c r="BR193" s="105"/>
      <c r="BS193" s="105"/>
      <c r="BT193" s="105"/>
      <c r="BU193" s="105"/>
    </row>
    <row r="194" spans="1:253" ht="12.75">
      <c r="A194" s="109" t="s">
        <v>151</v>
      </c>
      <c r="B194" s="110"/>
      <c r="C194" s="109" t="s">
        <v>176</v>
      </c>
      <c r="D194" s="110"/>
      <c r="E194" s="110"/>
      <c r="F194" s="109" t="s">
        <v>180</v>
      </c>
      <c r="G194" s="110"/>
      <c r="H194" s="110"/>
      <c r="I194" s="110"/>
      <c r="J194" s="110"/>
      <c r="K194" s="110"/>
      <c r="L194" s="109" t="s">
        <v>354</v>
      </c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09" t="s">
        <v>552</v>
      </c>
      <c r="AZ194" s="110"/>
      <c r="BA194" s="89">
        <v>23.25</v>
      </c>
      <c r="BB194" s="90"/>
      <c r="BC194" s="90"/>
      <c r="BD194" s="90"/>
      <c r="BE194" s="90"/>
      <c r="BF194" s="94"/>
      <c r="BG194" s="88"/>
      <c r="BH194" s="88"/>
      <c r="BI194" s="88"/>
      <c r="BJ194" s="88"/>
      <c r="BK194" s="88"/>
      <c r="BL194" s="88"/>
      <c r="BM194" s="88"/>
      <c r="BN194" s="89">
        <f>IR194*BA194+IS194*BA194</f>
        <v>0</v>
      </c>
      <c r="BO194" s="90"/>
      <c r="BP194" s="90"/>
      <c r="BQ194" s="90"/>
      <c r="BR194" s="90"/>
      <c r="BS194" s="90"/>
      <c r="BT194" s="90"/>
      <c r="BU194" s="90"/>
      <c r="IR194" s="10">
        <f>BF194*0</f>
        <v>0</v>
      </c>
      <c r="IS194" s="10">
        <f>BF194*(1-0)</f>
        <v>0</v>
      </c>
    </row>
    <row r="195" spans="1:253" ht="12.75">
      <c r="A195" s="109" t="s">
        <v>152</v>
      </c>
      <c r="B195" s="110"/>
      <c r="C195" s="109" t="s">
        <v>176</v>
      </c>
      <c r="D195" s="110"/>
      <c r="E195" s="110"/>
      <c r="F195" s="109" t="s">
        <v>181</v>
      </c>
      <c r="G195" s="110"/>
      <c r="H195" s="110"/>
      <c r="I195" s="110"/>
      <c r="J195" s="110"/>
      <c r="K195" s="110"/>
      <c r="L195" s="109" t="s">
        <v>355</v>
      </c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09" t="s">
        <v>552</v>
      </c>
      <c r="AZ195" s="110"/>
      <c r="BA195" s="89">
        <v>23.25</v>
      </c>
      <c r="BB195" s="90"/>
      <c r="BC195" s="90"/>
      <c r="BD195" s="90"/>
      <c r="BE195" s="90"/>
      <c r="BF195" s="94"/>
      <c r="BG195" s="88"/>
      <c r="BH195" s="88"/>
      <c r="BI195" s="88"/>
      <c r="BJ195" s="88"/>
      <c r="BK195" s="88"/>
      <c r="BL195" s="88"/>
      <c r="BM195" s="88"/>
      <c r="BN195" s="89">
        <f>IR195*BA195+IS195*BA195</f>
        <v>0</v>
      </c>
      <c r="BO195" s="90"/>
      <c r="BP195" s="90"/>
      <c r="BQ195" s="90"/>
      <c r="BR195" s="90"/>
      <c r="BS195" s="90"/>
      <c r="BT195" s="90"/>
      <c r="BU195" s="90"/>
      <c r="IR195" s="10">
        <f>BF195*0</f>
        <v>0</v>
      </c>
      <c r="IS195" s="10">
        <f>BF195*(1-0)</f>
        <v>0</v>
      </c>
    </row>
    <row r="196" spans="1:253" ht="12.75">
      <c r="A196" s="109" t="s">
        <v>153</v>
      </c>
      <c r="B196" s="110"/>
      <c r="C196" s="109" t="s">
        <v>176</v>
      </c>
      <c r="D196" s="110"/>
      <c r="E196" s="110"/>
      <c r="F196" s="109" t="s">
        <v>182</v>
      </c>
      <c r="G196" s="110"/>
      <c r="H196" s="110"/>
      <c r="I196" s="110"/>
      <c r="J196" s="110"/>
      <c r="K196" s="110"/>
      <c r="L196" s="109" t="s">
        <v>356</v>
      </c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09" t="s">
        <v>553</v>
      </c>
      <c r="AZ196" s="110"/>
      <c r="BA196" s="89">
        <v>795.15</v>
      </c>
      <c r="BB196" s="90"/>
      <c r="BC196" s="90"/>
      <c r="BD196" s="90"/>
      <c r="BE196" s="90"/>
      <c r="BF196" s="94"/>
      <c r="BG196" s="88"/>
      <c r="BH196" s="88"/>
      <c r="BI196" s="88"/>
      <c r="BJ196" s="88"/>
      <c r="BK196" s="88"/>
      <c r="BL196" s="88"/>
      <c r="BM196" s="88"/>
      <c r="BN196" s="89">
        <f>IR196*BA196+IS196*BA196</f>
        <v>0</v>
      </c>
      <c r="BO196" s="90"/>
      <c r="BP196" s="90"/>
      <c r="BQ196" s="90"/>
      <c r="BR196" s="90"/>
      <c r="BS196" s="90"/>
      <c r="BT196" s="90"/>
      <c r="BU196" s="90"/>
      <c r="IR196" s="10">
        <f>BF196*0</f>
        <v>0</v>
      </c>
      <c r="IS196" s="10">
        <f>BF196*(1-0)</f>
        <v>0</v>
      </c>
    </row>
    <row r="197" spans="1:253" ht="12.75">
      <c r="A197" s="109" t="s">
        <v>154</v>
      </c>
      <c r="B197" s="110"/>
      <c r="C197" s="109" t="s">
        <v>176</v>
      </c>
      <c r="D197" s="110"/>
      <c r="E197" s="110"/>
      <c r="F197" s="109" t="s">
        <v>183</v>
      </c>
      <c r="G197" s="110"/>
      <c r="H197" s="110"/>
      <c r="I197" s="110"/>
      <c r="J197" s="110"/>
      <c r="K197" s="110"/>
      <c r="L197" s="109" t="s">
        <v>357</v>
      </c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09" t="s">
        <v>553</v>
      </c>
      <c r="AZ197" s="110"/>
      <c r="BA197" s="89">
        <v>41.85</v>
      </c>
      <c r="BB197" s="90"/>
      <c r="BC197" s="90"/>
      <c r="BD197" s="90"/>
      <c r="BE197" s="90"/>
      <c r="BF197" s="94"/>
      <c r="BG197" s="88"/>
      <c r="BH197" s="88"/>
      <c r="BI197" s="88"/>
      <c r="BJ197" s="88"/>
      <c r="BK197" s="88"/>
      <c r="BL197" s="88"/>
      <c r="BM197" s="88"/>
      <c r="BN197" s="89">
        <f>IR197*BA197+IS197*BA197</f>
        <v>0</v>
      </c>
      <c r="BO197" s="90"/>
      <c r="BP197" s="90"/>
      <c r="BQ197" s="90"/>
      <c r="BR197" s="90"/>
      <c r="BS197" s="90"/>
      <c r="BT197" s="90"/>
      <c r="BU197" s="90"/>
      <c r="IR197" s="10">
        <f>BF197*0</f>
        <v>0</v>
      </c>
      <c r="IS197" s="10">
        <f>BF197*(1-0)</f>
        <v>0</v>
      </c>
    </row>
    <row r="198" spans="1:73" ht="12.75">
      <c r="A198" s="102" t="s">
        <v>6</v>
      </c>
      <c r="B198" s="103"/>
      <c r="C198" s="102" t="s">
        <v>6</v>
      </c>
      <c r="D198" s="103"/>
      <c r="E198" s="103"/>
      <c r="F198" s="102" t="s">
        <v>23</v>
      </c>
      <c r="G198" s="103"/>
      <c r="H198" s="103"/>
      <c r="I198" s="103"/>
      <c r="J198" s="103"/>
      <c r="K198" s="103"/>
      <c r="L198" s="102" t="s">
        <v>528</v>
      </c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2" t="s">
        <v>6</v>
      </c>
      <c r="AZ198" s="103"/>
      <c r="BA198" s="104" t="s">
        <v>6</v>
      </c>
      <c r="BB198" s="105"/>
      <c r="BC198" s="105"/>
      <c r="BD198" s="105"/>
      <c r="BE198" s="105"/>
      <c r="BF198" s="106" t="s">
        <v>6</v>
      </c>
      <c r="BG198" s="105"/>
      <c r="BH198" s="105"/>
      <c r="BI198" s="105"/>
      <c r="BJ198" s="105"/>
      <c r="BK198" s="105"/>
      <c r="BL198" s="105"/>
      <c r="BM198" s="105"/>
      <c r="BN198" s="111">
        <f>SUM(BN199:BN200)</f>
        <v>0</v>
      </c>
      <c r="BO198" s="105"/>
      <c r="BP198" s="105"/>
      <c r="BQ198" s="105"/>
      <c r="BR198" s="105"/>
      <c r="BS198" s="105"/>
      <c r="BT198" s="105"/>
      <c r="BU198" s="105"/>
    </row>
    <row r="199" spans="1:253" ht="12.75">
      <c r="A199" s="109" t="s">
        <v>155</v>
      </c>
      <c r="B199" s="110"/>
      <c r="C199" s="109" t="s">
        <v>176</v>
      </c>
      <c r="D199" s="110"/>
      <c r="E199" s="110"/>
      <c r="F199" s="109" t="s">
        <v>337</v>
      </c>
      <c r="G199" s="110"/>
      <c r="H199" s="110"/>
      <c r="I199" s="110"/>
      <c r="J199" s="110"/>
      <c r="K199" s="110"/>
      <c r="L199" s="109" t="s">
        <v>529</v>
      </c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09" t="s">
        <v>552</v>
      </c>
      <c r="AZ199" s="110"/>
      <c r="BA199" s="89">
        <v>32.36</v>
      </c>
      <c r="BB199" s="90"/>
      <c r="BC199" s="90"/>
      <c r="BD199" s="90"/>
      <c r="BE199" s="90"/>
      <c r="BF199" s="94"/>
      <c r="BG199" s="88"/>
      <c r="BH199" s="88"/>
      <c r="BI199" s="88"/>
      <c r="BJ199" s="88"/>
      <c r="BK199" s="88"/>
      <c r="BL199" s="88"/>
      <c r="BM199" s="88"/>
      <c r="BN199" s="89">
        <f>IR199*BA199+IS199*BA199</f>
        <v>0</v>
      </c>
      <c r="BO199" s="90"/>
      <c r="BP199" s="90"/>
      <c r="BQ199" s="90"/>
      <c r="BR199" s="90"/>
      <c r="BS199" s="90"/>
      <c r="BT199" s="90"/>
      <c r="BU199" s="90"/>
      <c r="IR199" s="10">
        <f>BF199*0</f>
        <v>0</v>
      </c>
      <c r="IS199" s="10">
        <f>BF199*(1-0)</f>
        <v>0</v>
      </c>
    </row>
    <row r="200" spans="1:253" ht="12.75">
      <c r="A200" s="109" t="s">
        <v>156</v>
      </c>
      <c r="B200" s="110"/>
      <c r="C200" s="109" t="s">
        <v>176</v>
      </c>
      <c r="D200" s="110"/>
      <c r="E200" s="110"/>
      <c r="F200" s="109" t="s">
        <v>338</v>
      </c>
      <c r="G200" s="110"/>
      <c r="H200" s="110"/>
      <c r="I200" s="110"/>
      <c r="J200" s="110"/>
      <c r="K200" s="110"/>
      <c r="L200" s="109" t="s">
        <v>530</v>
      </c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09" t="s">
        <v>552</v>
      </c>
      <c r="AZ200" s="110"/>
      <c r="BA200" s="89">
        <v>2.54</v>
      </c>
      <c r="BB200" s="90"/>
      <c r="BC200" s="90"/>
      <c r="BD200" s="90"/>
      <c r="BE200" s="90"/>
      <c r="BF200" s="94"/>
      <c r="BG200" s="88"/>
      <c r="BH200" s="88"/>
      <c r="BI200" s="88"/>
      <c r="BJ200" s="88"/>
      <c r="BK200" s="88"/>
      <c r="BL200" s="88"/>
      <c r="BM200" s="88"/>
      <c r="BN200" s="89">
        <f>IR200*BA200+IS200*BA200</f>
        <v>0</v>
      </c>
      <c r="BO200" s="90"/>
      <c r="BP200" s="90"/>
      <c r="BQ200" s="90"/>
      <c r="BR200" s="90"/>
      <c r="BS200" s="90"/>
      <c r="BT200" s="90"/>
      <c r="BU200" s="90"/>
      <c r="IR200" s="10">
        <f>BF200*0.507543147208122</f>
        <v>0</v>
      </c>
      <c r="IS200" s="10">
        <f>BF200*(1-0.507543147208122)</f>
        <v>0</v>
      </c>
    </row>
    <row r="201" spans="1:73" ht="12.75">
      <c r="A201" s="102" t="s">
        <v>6</v>
      </c>
      <c r="B201" s="103"/>
      <c r="C201" s="102" t="s">
        <v>6</v>
      </c>
      <c r="D201" s="103"/>
      <c r="E201" s="103"/>
      <c r="F201" s="102" t="s">
        <v>25</v>
      </c>
      <c r="G201" s="103"/>
      <c r="H201" s="103"/>
      <c r="I201" s="103"/>
      <c r="J201" s="103"/>
      <c r="K201" s="103"/>
      <c r="L201" s="102" t="s">
        <v>358</v>
      </c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2" t="s">
        <v>6</v>
      </c>
      <c r="AZ201" s="103"/>
      <c r="BA201" s="104" t="s">
        <v>6</v>
      </c>
      <c r="BB201" s="105"/>
      <c r="BC201" s="105"/>
      <c r="BD201" s="105"/>
      <c r="BE201" s="105"/>
      <c r="BF201" s="106" t="s">
        <v>6</v>
      </c>
      <c r="BG201" s="105"/>
      <c r="BH201" s="105"/>
      <c r="BI201" s="105"/>
      <c r="BJ201" s="105"/>
      <c r="BK201" s="105"/>
      <c r="BL201" s="105"/>
      <c r="BM201" s="105"/>
      <c r="BN201" s="111">
        <f>SUM(BN202:BN202)</f>
        <v>0</v>
      </c>
      <c r="BO201" s="105"/>
      <c r="BP201" s="105"/>
      <c r="BQ201" s="105"/>
      <c r="BR201" s="105"/>
      <c r="BS201" s="105"/>
      <c r="BT201" s="105"/>
      <c r="BU201" s="105"/>
    </row>
    <row r="202" spans="1:253" ht="12.75">
      <c r="A202" s="109" t="s">
        <v>157</v>
      </c>
      <c r="B202" s="110"/>
      <c r="C202" s="109" t="s">
        <v>176</v>
      </c>
      <c r="D202" s="110"/>
      <c r="E202" s="110"/>
      <c r="F202" s="109" t="s">
        <v>184</v>
      </c>
      <c r="G202" s="110"/>
      <c r="H202" s="110"/>
      <c r="I202" s="110"/>
      <c r="J202" s="110"/>
      <c r="K202" s="110"/>
      <c r="L202" s="109" t="s">
        <v>359</v>
      </c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09" t="s">
        <v>553</v>
      </c>
      <c r="AZ202" s="110"/>
      <c r="BA202" s="89">
        <v>41.85</v>
      </c>
      <c r="BB202" s="90"/>
      <c r="BC202" s="90"/>
      <c r="BD202" s="90"/>
      <c r="BE202" s="90"/>
      <c r="BF202" s="94"/>
      <c r="BG202" s="88"/>
      <c r="BH202" s="88"/>
      <c r="BI202" s="88"/>
      <c r="BJ202" s="88"/>
      <c r="BK202" s="88"/>
      <c r="BL202" s="88"/>
      <c r="BM202" s="88"/>
      <c r="BN202" s="89">
        <f>IR202*BA202+IS202*BA202</f>
        <v>0</v>
      </c>
      <c r="BO202" s="90"/>
      <c r="BP202" s="90"/>
      <c r="BQ202" s="90"/>
      <c r="BR202" s="90"/>
      <c r="BS202" s="90"/>
      <c r="BT202" s="90"/>
      <c r="BU202" s="90"/>
      <c r="IR202" s="10">
        <f>BF202*0</f>
        <v>0</v>
      </c>
      <c r="IS202" s="10">
        <f>BF202*(1-0)</f>
        <v>0</v>
      </c>
    </row>
    <row r="203" spans="1:73" ht="12.75">
      <c r="A203" s="102" t="s">
        <v>6</v>
      </c>
      <c r="B203" s="103"/>
      <c r="C203" s="102" t="s">
        <v>6</v>
      </c>
      <c r="D203" s="103"/>
      <c r="E203" s="103"/>
      <c r="F203" s="102" t="s">
        <v>33</v>
      </c>
      <c r="G203" s="103"/>
      <c r="H203" s="103"/>
      <c r="I203" s="103"/>
      <c r="J203" s="103"/>
      <c r="K203" s="103"/>
      <c r="L203" s="102" t="s">
        <v>360</v>
      </c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2" t="s">
        <v>6</v>
      </c>
      <c r="AZ203" s="103"/>
      <c r="BA203" s="104" t="s">
        <v>6</v>
      </c>
      <c r="BB203" s="105"/>
      <c r="BC203" s="105"/>
      <c r="BD203" s="105"/>
      <c r="BE203" s="105"/>
      <c r="BF203" s="106" t="s">
        <v>6</v>
      </c>
      <c r="BG203" s="105"/>
      <c r="BH203" s="105"/>
      <c r="BI203" s="105"/>
      <c r="BJ203" s="105"/>
      <c r="BK203" s="105"/>
      <c r="BL203" s="105"/>
      <c r="BM203" s="105"/>
      <c r="BN203" s="111">
        <f>SUM(BN204:BN205)</f>
        <v>0</v>
      </c>
      <c r="BO203" s="105"/>
      <c r="BP203" s="105"/>
      <c r="BQ203" s="105"/>
      <c r="BR203" s="105"/>
      <c r="BS203" s="105"/>
      <c r="BT203" s="105"/>
      <c r="BU203" s="105"/>
    </row>
    <row r="204" spans="1:253" ht="12.75">
      <c r="A204" s="109" t="s">
        <v>158</v>
      </c>
      <c r="B204" s="110"/>
      <c r="C204" s="109" t="s">
        <v>176</v>
      </c>
      <c r="D204" s="110"/>
      <c r="E204" s="110"/>
      <c r="F204" s="109" t="s">
        <v>185</v>
      </c>
      <c r="G204" s="110"/>
      <c r="H204" s="110"/>
      <c r="I204" s="110"/>
      <c r="J204" s="110"/>
      <c r="K204" s="110"/>
      <c r="L204" s="109" t="s">
        <v>361</v>
      </c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09" t="s">
        <v>552</v>
      </c>
      <c r="AZ204" s="110"/>
      <c r="BA204" s="89">
        <v>2</v>
      </c>
      <c r="BB204" s="90"/>
      <c r="BC204" s="90"/>
      <c r="BD204" s="90"/>
      <c r="BE204" s="90"/>
      <c r="BF204" s="94"/>
      <c r="BG204" s="88"/>
      <c r="BH204" s="88"/>
      <c r="BI204" s="88"/>
      <c r="BJ204" s="88"/>
      <c r="BK204" s="88"/>
      <c r="BL204" s="88"/>
      <c r="BM204" s="88"/>
      <c r="BN204" s="89">
        <f>IR204*BA204+IS204*BA204</f>
        <v>0</v>
      </c>
      <c r="BO204" s="90"/>
      <c r="BP204" s="90"/>
      <c r="BQ204" s="90"/>
      <c r="BR204" s="90"/>
      <c r="BS204" s="90"/>
      <c r="BT204" s="90"/>
      <c r="BU204" s="90"/>
      <c r="IR204" s="10">
        <f>BF204*0.592177777777778</f>
        <v>0</v>
      </c>
      <c r="IS204" s="10">
        <f>BF204*(1-0.592177777777778)</f>
        <v>0</v>
      </c>
    </row>
    <row r="205" spans="1:253" ht="12.75">
      <c r="A205" s="109" t="s">
        <v>159</v>
      </c>
      <c r="B205" s="110"/>
      <c r="C205" s="109" t="s">
        <v>176</v>
      </c>
      <c r="D205" s="110"/>
      <c r="E205" s="110"/>
      <c r="F205" s="109" t="s">
        <v>339</v>
      </c>
      <c r="G205" s="110"/>
      <c r="H205" s="110"/>
      <c r="I205" s="110"/>
      <c r="J205" s="110"/>
      <c r="K205" s="110"/>
      <c r="L205" s="109" t="s">
        <v>531</v>
      </c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09" t="s">
        <v>552</v>
      </c>
      <c r="AZ205" s="110"/>
      <c r="BA205" s="89">
        <v>1.58</v>
      </c>
      <c r="BB205" s="90"/>
      <c r="BC205" s="90"/>
      <c r="BD205" s="90"/>
      <c r="BE205" s="90"/>
      <c r="BF205" s="94"/>
      <c r="BG205" s="88"/>
      <c r="BH205" s="88"/>
      <c r="BI205" s="88"/>
      <c r="BJ205" s="88"/>
      <c r="BK205" s="88"/>
      <c r="BL205" s="88"/>
      <c r="BM205" s="88"/>
      <c r="BN205" s="89">
        <f>IR205*BA205+IS205*BA205</f>
        <v>0</v>
      </c>
      <c r="BO205" s="90"/>
      <c r="BP205" s="90"/>
      <c r="BQ205" s="90"/>
      <c r="BR205" s="90"/>
      <c r="BS205" s="90"/>
      <c r="BT205" s="90"/>
      <c r="BU205" s="90"/>
      <c r="IR205" s="10">
        <f>BF205*0.893463002114165</f>
        <v>0</v>
      </c>
      <c r="IS205" s="10">
        <f>BF205*(1-0.893463002114165)</f>
        <v>0</v>
      </c>
    </row>
    <row r="206" spans="1:73" ht="12.75">
      <c r="A206" s="102" t="s">
        <v>6</v>
      </c>
      <c r="B206" s="103"/>
      <c r="C206" s="102" t="s">
        <v>6</v>
      </c>
      <c r="D206" s="103"/>
      <c r="E206" s="103"/>
      <c r="F206" s="102" t="s">
        <v>51</v>
      </c>
      <c r="G206" s="103"/>
      <c r="H206" s="103"/>
      <c r="I206" s="103"/>
      <c r="J206" s="103"/>
      <c r="K206" s="103"/>
      <c r="L206" s="102" t="s">
        <v>391</v>
      </c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2" t="s">
        <v>6</v>
      </c>
      <c r="AZ206" s="103"/>
      <c r="BA206" s="104" t="s">
        <v>6</v>
      </c>
      <c r="BB206" s="105"/>
      <c r="BC206" s="105"/>
      <c r="BD206" s="105"/>
      <c r="BE206" s="105"/>
      <c r="BF206" s="106" t="s">
        <v>6</v>
      </c>
      <c r="BG206" s="105"/>
      <c r="BH206" s="105"/>
      <c r="BI206" s="105"/>
      <c r="BJ206" s="105"/>
      <c r="BK206" s="105"/>
      <c r="BL206" s="105"/>
      <c r="BM206" s="105"/>
      <c r="BN206" s="111">
        <f>SUM(BN207:BN207)</f>
        <v>0</v>
      </c>
      <c r="BO206" s="105"/>
      <c r="BP206" s="105"/>
      <c r="BQ206" s="105"/>
      <c r="BR206" s="105"/>
      <c r="BS206" s="105"/>
      <c r="BT206" s="105"/>
      <c r="BU206" s="105"/>
    </row>
    <row r="207" spans="1:253" ht="12.75">
      <c r="A207" s="109" t="s">
        <v>160</v>
      </c>
      <c r="B207" s="110"/>
      <c r="C207" s="109" t="s">
        <v>176</v>
      </c>
      <c r="D207" s="110"/>
      <c r="E207" s="110"/>
      <c r="F207" s="109" t="s">
        <v>210</v>
      </c>
      <c r="G207" s="110"/>
      <c r="H207" s="110"/>
      <c r="I207" s="110"/>
      <c r="J207" s="110"/>
      <c r="K207" s="110"/>
      <c r="L207" s="109" t="s">
        <v>532</v>
      </c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09" t="s">
        <v>552</v>
      </c>
      <c r="AZ207" s="110"/>
      <c r="BA207" s="89">
        <v>2.85</v>
      </c>
      <c r="BB207" s="90"/>
      <c r="BC207" s="90"/>
      <c r="BD207" s="90"/>
      <c r="BE207" s="90"/>
      <c r="BF207" s="94"/>
      <c r="BG207" s="88"/>
      <c r="BH207" s="88"/>
      <c r="BI207" s="88"/>
      <c r="BJ207" s="88"/>
      <c r="BK207" s="88"/>
      <c r="BL207" s="88"/>
      <c r="BM207" s="88"/>
      <c r="BN207" s="89">
        <f>IR207*BA207+IS207*BA207</f>
        <v>0</v>
      </c>
      <c r="BO207" s="90"/>
      <c r="BP207" s="90"/>
      <c r="BQ207" s="90"/>
      <c r="BR207" s="90"/>
      <c r="BS207" s="90"/>
      <c r="BT207" s="90"/>
      <c r="BU207" s="90"/>
      <c r="IR207" s="10">
        <f>BF207*0.575827186512118</f>
        <v>0</v>
      </c>
      <c r="IS207" s="10">
        <f>BF207*(1-0.575827186512118)</f>
        <v>0</v>
      </c>
    </row>
    <row r="208" spans="1:73" ht="12.75">
      <c r="A208" s="102" t="s">
        <v>6</v>
      </c>
      <c r="B208" s="103"/>
      <c r="C208" s="102" t="s">
        <v>6</v>
      </c>
      <c r="D208" s="103"/>
      <c r="E208" s="103"/>
      <c r="F208" s="102" t="s">
        <v>281</v>
      </c>
      <c r="G208" s="103"/>
      <c r="H208" s="103"/>
      <c r="I208" s="103"/>
      <c r="J208" s="103"/>
      <c r="K208" s="103"/>
      <c r="L208" s="102" t="s">
        <v>469</v>
      </c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2" t="s">
        <v>6</v>
      </c>
      <c r="AZ208" s="103"/>
      <c r="BA208" s="104" t="s">
        <v>6</v>
      </c>
      <c r="BB208" s="105"/>
      <c r="BC208" s="105"/>
      <c r="BD208" s="105"/>
      <c r="BE208" s="105"/>
      <c r="BF208" s="106" t="s">
        <v>6</v>
      </c>
      <c r="BG208" s="105"/>
      <c r="BH208" s="105"/>
      <c r="BI208" s="105"/>
      <c r="BJ208" s="105"/>
      <c r="BK208" s="105"/>
      <c r="BL208" s="105"/>
      <c r="BM208" s="105"/>
      <c r="BN208" s="111">
        <f>SUM(BN209:BN210)</f>
        <v>0</v>
      </c>
      <c r="BO208" s="105"/>
      <c r="BP208" s="105"/>
      <c r="BQ208" s="105"/>
      <c r="BR208" s="105"/>
      <c r="BS208" s="105"/>
      <c r="BT208" s="105"/>
      <c r="BU208" s="105"/>
    </row>
    <row r="209" spans="1:253" ht="12.75">
      <c r="A209" s="109" t="s">
        <v>161</v>
      </c>
      <c r="B209" s="110"/>
      <c r="C209" s="109" t="s">
        <v>176</v>
      </c>
      <c r="D209" s="110"/>
      <c r="E209" s="110"/>
      <c r="F209" s="109" t="s">
        <v>289</v>
      </c>
      <c r="G209" s="110"/>
      <c r="H209" s="110"/>
      <c r="I209" s="110"/>
      <c r="J209" s="110"/>
      <c r="K209" s="110"/>
      <c r="L209" s="109" t="s">
        <v>477</v>
      </c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09" t="s">
        <v>556</v>
      </c>
      <c r="AZ209" s="110"/>
      <c r="BA209" s="89">
        <v>31.5</v>
      </c>
      <c r="BB209" s="90"/>
      <c r="BC209" s="90"/>
      <c r="BD209" s="90"/>
      <c r="BE209" s="90"/>
      <c r="BF209" s="94"/>
      <c r="BG209" s="88"/>
      <c r="BH209" s="88"/>
      <c r="BI209" s="88"/>
      <c r="BJ209" s="88"/>
      <c r="BK209" s="88"/>
      <c r="BL209" s="88"/>
      <c r="BM209" s="88"/>
      <c r="BN209" s="89">
        <f>IR209*BA209+IS209*BA209</f>
        <v>0</v>
      </c>
      <c r="BO209" s="90"/>
      <c r="BP209" s="90"/>
      <c r="BQ209" s="90"/>
      <c r="BR209" s="90"/>
      <c r="BS209" s="90"/>
      <c r="BT209" s="90"/>
      <c r="BU209" s="90"/>
      <c r="IR209" s="10">
        <f>BF209*0.0535055350553506</f>
        <v>0</v>
      </c>
      <c r="IS209" s="10">
        <f>BF209*(1-0.0535055350553506)</f>
        <v>0</v>
      </c>
    </row>
    <row r="210" spans="1:253" ht="12.75">
      <c r="A210" s="109" t="s">
        <v>162</v>
      </c>
      <c r="B210" s="110"/>
      <c r="C210" s="109" t="s">
        <v>176</v>
      </c>
      <c r="D210" s="110"/>
      <c r="E210" s="110"/>
      <c r="F210" s="109" t="s">
        <v>340</v>
      </c>
      <c r="G210" s="110"/>
      <c r="H210" s="110"/>
      <c r="I210" s="110"/>
      <c r="J210" s="110"/>
      <c r="K210" s="110"/>
      <c r="L210" s="109" t="s">
        <v>533</v>
      </c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09" t="s">
        <v>556</v>
      </c>
      <c r="AZ210" s="110"/>
      <c r="BA210" s="89">
        <v>31.5</v>
      </c>
      <c r="BB210" s="90"/>
      <c r="BC210" s="90"/>
      <c r="BD210" s="90"/>
      <c r="BE210" s="90"/>
      <c r="BF210" s="94"/>
      <c r="BG210" s="88"/>
      <c r="BH210" s="88"/>
      <c r="BI210" s="88"/>
      <c r="BJ210" s="88"/>
      <c r="BK210" s="88"/>
      <c r="BL210" s="88"/>
      <c r="BM210" s="88"/>
      <c r="BN210" s="89">
        <f>IR210*BA210+IS210*BA210</f>
        <v>0</v>
      </c>
      <c r="BO210" s="90"/>
      <c r="BP210" s="90"/>
      <c r="BQ210" s="90"/>
      <c r="BR210" s="90"/>
      <c r="BS210" s="90"/>
      <c r="BT210" s="90"/>
      <c r="BU210" s="90"/>
      <c r="IR210" s="10">
        <f>BF210*0.211428571428571</f>
        <v>0</v>
      </c>
      <c r="IS210" s="10">
        <f>BF210*(1-0.211428571428571)</f>
        <v>0</v>
      </c>
    </row>
    <row r="211" spans="1:73" ht="12.75">
      <c r="A211" s="102" t="s">
        <v>6</v>
      </c>
      <c r="B211" s="103"/>
      <c r="C211" s="102" t="s">
        <v>6</v>
      </c>
      <c r="D211" s="103"/>
      <c r="E211" s="103"/>
      <c r="F211" s="102" t="s">
        <v>93</v>
      </c>
      <c r="G211" s="103"/>
      <c r="H211" s="103"/>
      <c r="I211" s="103"/>
      <c r="J211" s="103"/>
      <c r="K211" s="103"/>
      <c r="L211" s="102" t="s">
        <v>534</v>
      </c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2" t="s">
        <v>6</v>
      </c>
      <c r="AZ211" s="103"/>
      <c r="BA211" s="104" t="s">
        <v>6</v>
      </c>
      <c r="BB211" s="105"/>
      <c r="BC211" s="105"/>
      <c r="BD211" s="105"/>
      <c r="BE211" s="105"/>
      <c r="BF211" s="106" t="s">
        <v>6</v>
      </c>
      <c r="BG211" s="105"/>
      <c r="BH211" s="105"/>
      <c r="BI211" s="105"/>
      <c r="BJ211" s="105"/>
      <c r="BK211" s="105"/>
      <c r="BL211" s="105"/>
      <c r="BM211" s="105"/>
      <c r="BN211" s="111">
        <f>SUM(BN212:BN213)</f>
        <v>0</v>
      </c>
      <c r="BO211" s="105"/>
      <c r="BP211" s="105"/>
      <c r="BQ211" s="105"/>
      <c r="BR211" s="105"/>
      <c r="BS211" s="105"/>
      <c r="BT211" s="105"/>
      <c r="BU211" s="105"/>
    </row>
    <row r="212" spans="1:253" ht="12.75">
      <c r="A212" s="109" t="s">
        <v>163</v>
      </c>
      <c r="B212" s="110"/>
      <c r="C212" s="109" t="s">
        <v>176</v>
      </c>
      <c r="D212" s="110"/>
      <c r="E212" s="110"/>
      <c r="F212" s="109" t="s">
        <v>341</v>
      </c>
      <c r="G212" s="110"/>
      <c r="H212" s="110"/>
      <c r="I212" s="110"/>
      <c r="J212" s="110"/>
      <c r="K212" s="110"/>
      <c r="L212" s="109" t="s">
        <v>535</v>
      </c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09" t="s">
        <v>556</v>
      </c>
      <c r="AZ212" s="110"/>
      <c r="BA212" s="89">
        <v>31.5</v>
      </c>
      <c r="BB212" s="90"/>
      <c r="BC212" s="90"/>
      <c r="BD212" s="90"/>
      <c r="BE212" s="90"/>
      <c r="BF212" s="94"/>
      <c r="BG212" s="88"/>
      <c r="BH212" s="88"/>
      <c r="BI212" s="88"/>
      <c r="BJ212" s="88"/>
      <c r="BK212" s="88"/>
      <c r="BL212" s="88"/>
      <c r="BM212" s="88"/>
      <c r="BN212" s="89">
        <f>IR212*BA212+IS212*BA212</f>
        <v>0</v>
      </c>
      <c r="BO212" s="90"/>
      <c r="BP212" s="90"/>
      <c r="BQ212" s="90"/>
      <c r="BR212" s="90"/>
      <c r="BS212" s="90"/>
      <c r="BT212" s="90"/>
      <c r="BU212" s="90"/>
      <c r="IR212" s="10">
        <f>BF212*0.0733873073909637</f>
        <v>0</v>
      </c>
      <c r="IS212" s="10">
        <f>BF212*(1-0.0733873073909637)</f>
        <v>0</v>
      </c>
    </row>
    <row r="213" spans="1:253" ht="12.75">
      <c r="A213" s="109" t="s">
        <v>164</v>
      </c>
      <c r="B213" s="110"/>
      <c r="C213" s="109" t="s">
        <v>176</v>
      </c>
      <c r="D213" s="110"/>
      <c r="E213" s="110"/>
      <c r="F213" s="109" t="s">
        <v>342</v>
      </c>
      <c r="G213" s="110"/>
      <c r="H213" s="110"/>
      <c r="I213" s="110"/>
      <c r="J213" s="110"/>
      <c r="K213" s="110"/>
      <c r="L213" s="109" t="s">
        <v>536</v>
      </c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09" t="s">
        <v>556</v>
      </c>
      <c r="AZ213" s="110"/>
      <c r="BA213" s="89">
        <v>16</v>
      </c>
      <c r="BB213" s="90"/>
      <c r="BC213" s="90"/>
      <c r="BD213" s="90"/>
      <c r="BE213" s="90"/>
      <c r="BF213" s="94"/>
      <c r="BG213" s="88"/>
      <c r="BH213" s="88"/>
      <c r="BI213" s="88"/>
      <c r="BJ213" s="88"/>
      <c r="BK213" s="88"/>
      <c r="BL213" s="88"/>
      <c r="BM213" s="88"/>
      <c r="BN213" s="89">
        <f>IR213*BA213+IS213*BA213</f>
        <v>0</v>
      </c>
      <c r="BO213" s="90"/>
      <c r="BP213" s="90"/>
      <c r="BQ213" s="90"/>
      <c r="BR213" s="90"/>
      <c r="BS213" s="90"/>
      <c r="BT213" s="90"/>
      <c r="BU213" s="90"/>
      <c r="IR213" s="10">
        <f>BF213*0.130341113105925</f>
        <v>0</v>
      </c>
      <c r="IS213" s="10">
        <f>BF213*(1-0.130341113105925)</f>
        <v>0</v>
      </c>
    </row>
    <row r="214" spans="1:73" ht="12.75">
      <c r="A214" s="102" t="s">
        <v>6</v>
      </c>
      <c r="B214" s="103"/>
      <c r="C214" s="102" t="s">
        <v>6</v>
      </c>
      <c r="D214" s="103"/>
      <c r="E214" s="103"/>
      <c r="F214" s="102" t="s">
        <v>95</v>
      </c>
      <c r="G214" s="103"/>
      <c r="H214" s="103"/>
      <c r="I214" s="103"/>
      <c r="J214" s="103"/>
      <c r="K214" s="103"/>
      <c r="L214" s="102" t="s">
        <v>537</v>
      </c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2" t="s">
        <v>6</v>
      </c>
      <c r="AZ214" s="103"/>
      <c r="BA214" s="104" t="s">
        <v>6</v>
      </c>
      <c r="BB214" s="105"/>
      <c r="BC214" s="105"/>
      <c r="BD214" s="105"/>
      <c r="BE214" s="105"/>
      <c r="BF214" s="106" t="s">
        <v>6</v>
      </c>
      <c r="BG214" s="105"/>
      <c r="BH214" s="105"/>
      <c r="BI214" s="105"/>
      <c r="BJ214" s="105"/>
      <c r="BK214" s="105"/>
      <c r="BL214" s="105"/>
      <c r="BM214" s="105"/>
      <c r="BN214" s="111">
        <f>SUM(BN215:BN218)</f>
        <v>0</v>
      </c>
      <c r="BO214" s="105"/>
      <c r="BP214" s="105"/>
      <c r="BQ214" s="105"/>
      <c r="BR214" s="105"/>
      <c r="BS214" s="105"/>
      <c r="BT214" s="105"/>
      <c r="BU214" s="105"/>
    </row>
    <row r="215" spans="1:253" ht="12.75">
      <c r="A215" s="109" t="s">
        <v>165</v>
      </c>
      <c r="B215" s="110"/>
      <c r="C215" s="109" t="s">
        <v>176</v>
      </c>
      <c r="D215" s="110"/>
      <c r="E215" s="110"/>
      <c r="F215" s="109" t="s">
        <v>343</v>
      </c>
      <c r="G215" s="110"/>
      <c r="H215" s="110"/>
      <c r="I215" s="110"/>
      <c r="J215" s="110"/>
      <c r="K215" s="110"/>
      <c r="L215" s="109" t="s">
        <v>538</v>
      </c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09" t="s">
        <v>556</v>
      </c>
      <c r="AZ215" s="110"/>
      <c r="BA215" s="89">
        <v>47.5</v>
      </c>
      <c r="BB215" s="90"/>
      <c r="BC215" s="90"/>
      <c r="BD215" s="90"/>
      <c r="BE215" s="90"/>
      <c r="BF215" s="94"/>
      <c r="BG215" s="88"/>
      <c r="BH215" s="88"/>
      <c r="BI215" s="88"/>
      <c r="BJ215" s="88"/>
      <c r="BK215" s="88"/>
      <c r="BL215" s="88"/>
      <c r="BM215" s="88"/>
      <c r="BN215" s="89">
        <f>IR215*BA215+IS215*BA215</f>
        <v>0</v>
      </c>
      <c r="BO215" s="90"/>
      <c r="BP215" s="90"/>
      <c r="BQ215" s="90"/>
      <c r="BR215" s="90"/>
      <c r="BS215" s="90"/>
      <c r="BT215" s="90"/>
      <c r="BU215" s="90"/>
      <c r="IR215" s="10">
        <f>BF215*0.321367521367521</f>
        <v>0</v>
      </c>
      <c r="IS215" s="10">
        <f>BF215*(1-0.321367521367521)</f>
        <v>0</v>
      </c>
    </row>
    <row r="216" spans="1:253" ht="12.75">
      <c r="A216" s="109" t="s">
        <v>166</v>
      </c>
      <c r="B216" s="110"/>
      <c r="C216" s="109" t="s">
        <v>176</v>
      </c>
      <c r="D216" s="110"/>
      <c r="E216" s="110"/>
      <c r="F216" s="109" t="s">
        <v>279</v>
      </c>
      <c r="G216" s="110"/>
      <c r="H216" s="110"/>
      <c r="I216" s="110"/>
      <c r="J216" s="110"/>
      <c r="K216" s="110"/>
      <c r="L216" s="109" t="s">
        <v>467</v>
      </c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09" t="s">
        <v>556</v>
      </c>
      <c r="AZ216" s="110"/>
      <c r="BA216" s="89">
        <v>16</v>
      </c>
      <c r="BB216" s="90"/>
      <c r="BC216" s="90"/>
      <c r="BD216" s="90"/>
      <c r="BE216" s="90"/>
      <c r="BF216" s="94"/>
      <c r="BG216" s="88"/>
      <c r="BH216" s="88"/>
      <c r="BI216" s="88"/>
      <c r="BJ216" s="88"/>
      <c r="BK216" s="88"/>
      <c r="BL216" s="88"/>
      <c r="BM216" s="88"/>
      <c r="BN216" s="89">
        <f>IR216*BA216+IS216*BA216</f>
        <v>0</v>
      </c>
      <c r="BO216" s="90"/>
      <c r="BP216" s="90"/>
      <c r="BQ216" s="90"/>
      <c r="BR216" s="90"/>
      <c r="BS216" s="90"/>
      <c r="BT216" s="90"/>
      <c r="BU216" s="90"/>
      <c r="IR216" s="10">
        <f>BF216*0.0595833333333333</f>
        <v>0</v>
      </c>
      <c r="IS216" s="10">
        <f>BF216*(1-0.0595833333333333)</f>
        <v>0</v>
      </c>
    </row>
    <row r="217" spans="1:253" ht="12.75">
      <c r="A217" s="109" t="s">
        <v>167</v>
      </c>
      <c r="B217" s="110"/>
      <c r="C217" s="109" t="s">
        <v>176</v>
      </c>
      <c r="D217" s="110"/>
      <c r="E217" s="110"/>
      <c r="F217" s="109" t="s">
        <v>344</v>
      </c>
      <c r="G217" s="110"/>
      <c r="H217" s="110"/>
      <c r="I217" s="110"/>
      <c r="J217" s="110"/>
      <c r="K217" s="110"/>
      <c r="L217" s="109" t="s">
        <v>539</v>
      </c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09" t="s">
        <v>558</v>
      </c>
      <c r="AZ217" s="110"/>
      <c r="BA217" s="89">
        <v>1</v>
      </c>
      <c r="BB217" s="90"/>
      <c r="BC217" s="90"/>
      <c r="BD217" s="90"/>
      <c r="BE217" s="90"/>
      <c r="BF217" s="94"/>
      <c r="BG217" s="88"/>
      <c r="BH217" s="88"/>
      <c r="BI217" s="88"/>
      <c r="BJ217" s="88"/>
      <c r="BK217" s="88"/>
      <c r="BL217" s="88"/>
      <c r="BM217" s="88"/>
      <c r="BN217" s="89">
        <f>IR217*BA217+IS217*BA217</f>
        <v>0</v>
      </c>
      <c r="BO217" s="90"/>
      <c r="BP217" s="90"/>
      <c r="BQ217" s="90"/>
      <c r="BR217" s="90"/>
      <c r="BS217" s="90"/>
      <c r="BT217" s="90"/>
      <c r="BU217" s="90"/>
      <c r="IR217" s="10">
        <f>BF217*1</f>
        <v>0</v>
      </c>
      <c r="IS217" s="10">
        <f>BF217*(1-1)</f>
        <v>0</v>
      </c>
    </row>
    <row r="218" spans="1:253" ht="12.75">
      <c r="A218" s="109" t="s">
        <v>168</v>
      </c>
      <c r="B218" s="110"/>
      <c r="C218" s="109" t="s">
        <v>176</v>
      </c>
      <c r="D218" s="110"/>
      <c r="E218" s="110"/>
      <c r="F218" s="109" t="s">
        <v>345</v>
      </c>
      <c r="G218" s="110"/>
      <c r="H218" s="110"/>
      <c r="I218" s="110"/>
      <c r="J218" s="110"/>
      <c r="K218" s="110"/>
      <c r="L218" s="109" t="s">
        <v>540</v>
      </c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09" t="s">
        <v>558</v>
      </c>
      <c r="AZ218" s="110"/>
      <c r="BA218" s="89">
        <v>1</v>
      </c>
      <c r="BB218" s="90"/>
      <c r="BC218" s="90"/>
      <c r="BD218" s="90"/>
      <c r="BE218" s="90"/>
      <c r="BF218" s="94"/>
      <c r="BG218" s="88"/>
      <c r="BH218" s="88"/>
      <c r="BI218" s="88"/>
      <c r="BJ218" s="88"/>
      <c r="BK218" s="88"/>
      <c r="BL218" s="88"/>
      <c r="BM218" s="88"/>
      <c r="BN218" s="89">
        <f>IR218*BA218+IS218*BA218</f>
        <v>0</v>
      </c>
      <c r="BO218" s="90"/>
      <c r="BP218" s="90"/>
      <c r="BQ218" s="90"/>
      <c r="BR218" s="90"/>
      <c r="BS218" s="90"/>
      <c r="BT218" s="90"/>
      <c r="BU218" s="90"/>
      <c r="IR218" s="10">
        <f>BF218*1</f>
        <v>0</v>
      </c>
      <c r="IS218" s="10">
        <f>BF218*(1-1)</f>
        <v>0</v>
      </c>
    </row>
    <row r="219" spans="1:73" ht="12.75">
      <c r="A219" s="102" t="s">
        <v>6</v>
      </c>
      <c r="B219" s="103"/>
      <c r="C219" s="102" t="s">
        <v>6</v>
      </c>
      <c r="D219" s="103"/>
      <c r="E219" s="103"/>
      <c r="F219" s="102"/>
      <c r="G219" s="103"/>
      <c r="H219" s="103"/>
      <c r="I219" s="103"/>
      <c r="J219" s="103"/>
      <c r="K219" s="103"/>
      <c r="L219" s="102" t="s">
        <v>450</v>
      </c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2" t="s">
        <v>6</v>
      </c>
      <c r="AZ219" s="103"/>
      <c r="BA219" s="104" t="s">
        <v>6</v>
      </c>
      <c r="BB219" s="105"/>
      <c r="BC219" s="105"/>
      <c r="BD219" s="105"/>
      <c r="BE219" s="105"/>
      <c r="BF219" s="106" t="s">
        <v>6</v>
      </c>
      <c r="BG219" s="105"/>
      <c r="BH219" s="105"/>
      <c r="BI219" s="105"/>
      <c r="BJ219" s="105"/>
      <c r="BK219" s="105"/>
      <c r="BL219" s="105"/>
      <c r="BM219" s="105"/>
      <c r="BN219" s="107">
        <f>SUM(BN220:BN221)</f>
        <v>0</v>
      </c>
      <c r="BO219" s="108"/>
      <c r="BP219" s="108"/>
      <c r="BQ219" s="108"/>
      <c r="BR219" s="108"/>
      <c r="BS219" s="108"/>
      <c r="BT219" s="108"/>
      <c r="BU219" s="108"/>
    </row>
    <row r="220" spans="1:253" ht="12.75">
      <c r="A220" s="92" t="s">
        <v>169</v>
      </c>
      <c r="B220" s="93"/>
      <c r="C220" s="92" t="s">
        <v>176</v>
      </c>
      <c r="D220" s="93"/>
      <c r="E220" s="93"/>
      <c r="F220" s="92" t="s">
        <v>346</v>
      </c>
      <c r="G220" s="93"/>
      <c r="H220" s="93"/>
      <c r="I220" s="93"/>
      <c r="J220" s="93"/>
      <c r="K220" s="93"/>
      <c r="L220" s="92" t="s">
        <v>541</v>
      </c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2" t="s">
        <v>556</v>
      </c>
      <c r="AZ220" s="93"/>
      <c r="BA220" s="95">
        <v>31.5</v>
      </c>
      <c r="BB220" s="91"/>
      <c r="BC220" s="91"/>
      <c r="BD220" s="91"/>
      <c r="BE220" s="91"/>
      <c r="BF220" s="100"/>
      <c r="BG220" s="101"/>
      <c r="BH220" s="101"/>
      <c r="BI220" s="101"/>
      <c r="BJ220" s="101"/>
      <c r="BK220" s="101"/>
      <c r="BL220" s="101"/>
      <c r="BM220" s="101"/>
      <c r="BN220" s="95">
        <f>IR220*BA220+IS220*BA220</f>
        <v>0</v>
      </c>
      <c r="BO220" s="91"/>
      <c r="BP220" s="91"/>
      <c r="BQ220" s="91"/>
      <c r="BR220" s="91"/>
      <c r="BS220" s="91"/>
      <c r="BT220" s="91"/>
      <c r="BU220" s="91"/>
      <c r="IR220" s="11">
        <f>BF220*1</f>
        <v>0</v>
      </c>
      <c r="IS220" s="11">
        <f>BF220*(1-1)</f>
        <v>0</v>
      </c>
    </row>
    <row r="221" spans="1:253" ht="12.75">
      <c r="A221" s="92" t="s">
        <v>170</v>
      </c>
      <c r="B221" s="93"/>
      <c r="C221" s="92" t="s">
        <v>176</v>
      </c>
      <c r="D221" s="93"/>
      <c r="E221" s="93"/>
      <c r="F221" s="92" t="s">
        <v>347</v>
      </c>
      <c r="G221" s="93"/>
      <c r="H221" s="93"/>
      <c r="I221" s="93"/>
      <c r="J221" s="93"/>
      <c r="K221" s="93"/>
      <c r="L221" s="92" t="s">
        <v>542</v>
      </c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2" t="s">
        <v>555</v>
      </c>
      <c r="AZ221" s="93"/>
      <c r="BA221" s="95">
        <v>16</v>
      </c>
      <c r="BB221" s="91"/>
      <c r="BC221" s="91"/>
      <c r="BD221" s="91"/>
      <c r="BE221" s="91"/>
      <c r="BF221" s="100"/>
      <c r="BG221" s="101"/>
      <c r="BH221" s="101"/>
      <c r="BI221" s="101"/>
      <c r="BJ221" s="101"/>
      <c r="BK221" s="101"/>
      <c r="BL221" s="101"/>
      <c r="BM221" s="101"/>
      <c r="BN221" s="95">
        <f>IR221*BA221+IS221*BA221</f>
        <v>0</v>
      </c>
      <c r="BO221" s="91"/>
      <c r="BP221" s="91"/>
      <c r="BQ221" s="91"/>
      <c r="BR221" s="91"/>
      <c r="BS221" s="91"/>
      <c r="BT221" s="91"/>
      <c r="BU221" s="91"/>
      <c r="IR221" s="11">
        <f>BF221*1</f>
        <v>0</v>
      </c>
      <c r="IS221" s="11">
        <f>BF221*(1-1)</f>
        <v>0</v>
      </c>
    </row>
    <row r="223" spans="58:73" ht="12.75">
      <c r="BF223" s="96" t="s">
        <v>563</v>
      </c>
      <c r="BG223" s="97"/>
      <c r="BH223" s="97"/>
      <c r="BI223" s="97"/>
      <c r="BJ223" s="97"/>
      <c r="BK223" s="97"/>
      <c r="BL223" s="97"/>
      <c r="BM223" s="97"/>
      <c r="BN223" s="98">
        <f>ROUND(BN12+BN15+BN20+BN22+BN37+BN39+BN44+BN46+BN49+BN53+BN55+BN63+BN72+BN78+BN81+BN86+BN90+BN93+BN96+BN101+BN106+BN108+BN110+BN112+BN123+BN131+BN145+BN155+BN159+BN164+BN166+BN187+BN190+BN193+BN198+BN201+BN203+BN206+BN208+BN211+BN214+BN219,0)</f>
        <v>0</v>
      </c>
      <c r="BO223" s="99"/>
      <c r="BP223" s="99"/>
      <c r="BQ223" s="99"/>
      <c r="BR223" s="99"/>
      <c r="BS223" s="99"/>
      <c r="BT223" s="99"/>
      <c r="BU223" s="99"/>
    </row>
  </sheetData>
  <sheetProtection/>
  <mergeCells count="1723">
    <mergeCell ref="AW4:BC5"/>
    <mergeCell ref="BD4:BU5"/>
    <mergeCell ref="A1:BU1"/>
    <mergeCell ref="A2:E3"/>
    <mergeCell ref="F2:AI3"/>
    <mergeCell ref="AJ2:AP3"/>
    <mergeCell ref="AQ2:AV3"/>
    <mergeCell ref="AW2:BC3"/>
    <mergeCell ref="BD2:BU3"/>
    <mergeCell ref="A4:E5"/>
    <mergeCell ref="F4:AI5"/>
    <mergeCell ref="AJ4:AP5"/>
    <mergeCell ref="AQ4:AV5"/>
    <mergeCell ref="AW8:BC9"/>
    <mergeCell ref="BD8:BU9"/>
    <mergeCell ref="A6:E7"/>
    <mergeCell ref="F6:AI7"/>
    <mergeCell ref="AJ6:AP7"/>
    <mergeCell ref="AQ6:AV7"/>
    <mergeCell ref="AW6:BC7"/>
    <mergeCell ref="BD6:BU7"/>
    <mergeCell ref="A8:E9"/>
    <mergeCell ref="F8:AI9"/>
    <mergeCell ref="AJ8:AP9"/>
    <mergeCell ref="AQ8:AV9"/>
    <mergeCell ref="A10:B10"/>
    <mergeCell ref="C10:E10"/>
    <mergeCell ref="F10:K10"/>
    <mergeCell ref="L10:AX10"/>
    <mergeCell ref="A11:B11"/>
    <mergeCell ref="C11:E11"/>
    <mergeCell ref="F11:K11"/>
    <mergeCell ref="L11:AX11"/>
    <mergeCell ref="AY12:AZ12"/>
    <mergeCell ref="BA12:BE12"/>
    <mergeCell ref="BF10:BM10"/>
    <mergeCell ref="BN10:BU10"/>
    <mergeCell ref="AY11:AZ11"/>
    <mergeCell ref="BA11:BE11"/>
    <mergeCell ref="BF11:BM11"/>
    <mergeCell ref="BN11:BU11"/>
    <mergeCell ref="AY10:AZ10"/>
    <mergeCell ref="BA10:BE10"/>
    <mergeCell ref="A12:B12"/>
    <mergeCell ref="C12:E12"/>
    <mergeCell ref="F12:K12"/>
    <mergeCell ref="L12:AX12"/>
    <mergeCell ref="BF12:BM12"/>
    <mergeCell ref="BN12:BU12"/>
    <mergeCell ref="A13:B13"/>
    <mergeCell ref="C13:E13"/>
    <mergeCell ref="F13:K13"/>
    <mergeCell ref="L13:AX13"/>
    <mergeCell ref="AY13:AZ13"/>
    <mergeCell ref="BA13:BE13"/>
    <mergeCell ref="BF13:BM13"/>
    <mergeCell ref="BN13:BU13"/>
    <mergeCell ref="A14:B14"/>
    <mergeCell ref="C14:E14"/>
    <mergeCell ref="F14:K14"/>
    <mergeCell ref="L14:AX14"/>
    <mergeCell ref="A15:B15"/>
    <mergeCell ref="C15:E15"/>
    <mergeCell ref="F15:K15"/>
    <mergeCell ref="L15:AX15"/>
    <mergeCell ref="AY16:AZ16"/>
    <mergeCell ref="BA16:BE16"/>
    <mergeCell ref="BF14:BM14"/>
    <mergeCell ref="BN14:BU14"/>
    <mergeCell ref="AY15:AZ15"/>
    <mergeCell ref="BA15:BE15"/>
    <mergeCell ref="BF15:BM15"/>
    <mergeCell ref="BN15:BU15"/>
    <mergeCell ref="AY14:AZ14"/>
    <mergeCell ref="BA14:BE14"/>
    <mergeCell ref="A16:B16"/>
    <mergeCell ref="C16:E16"/>
    <mergeCell ref="F16:K16"/>
    <mergeCell ref="L16:AX16"/>
    <mergeCell ref="BF16:BM16"/>
    <mergeCell ref="BN16:BU16"/>
    <mergeCell ref="A17:B17"/>
    <mergeCell ref="C17:E17"/>
    <mergeCell ref="F17:K17"/>
    <mergeCell ref="L17:AX17"/>
    <mergeCell ref="AY17:AZ17"/>
    <mergeCell ref="BA17:BE17"/>
    <mergeCell ref="BF17:BM17"/>
    <mergeCell ref="BN17:BU17"/>
    <mergeCell ref="A18:B18"/>
    <mergeCell ref="C18:E18"/>
    <mergeCell ref="F18:K18"/>
    <mergeCell ref="L18:AX18"/>
    <mergeCell ref="A19:B19"/>
    <mergeCell ref="C19:E19"/>
    <mergeCell ref="F19:K19"/>
    <mergeCell ref="L19:AX19"/>
    <mergeCell ref="AY20:AZ20"/>
    <mergeCell ref="BA20:BE20"/>
    <mergeCell ref="BF18:BM18"/>
    <mergeCell ref="BN18:BU18"/>
    <mergeCell ref="AY19:AZ19"/>
    <mergeCell ref="BA19:BE19"/>
    <mergeCell ref="BF19:BM19"/>
    <mergeCell ref="BN19:BU19"/>
    <mergeCell ref="AY18:AZ18"/>
    <mergeCell ref="BA18:BE18"/>
    <mergeCell ref="A20:B20"/>
    <mergeCell ref="C20:E20"/>
    <mergeCell ref="F20:K20"/>
    <mergeCell ref="L20:AX20"/>
    <mergeCell ref="BF20:BM20"/>
    <mergeCell ref="BN20:BU20"/>
    <mergeCell ref="A21:B21"/>
    <mergeCell ref="C21:E21"/>
    <mergeCell ref="F21:K21"/>
    <mergeCell ref="L21:AX21"/>
    <mergeCell ref="AY21:AZ21"/>
    <mergeCell ref="BA21:BE21"/>
    <mergeCell ref="BF21:BM21"/>
    <mergeCell ref="BN21:BU21"/>
    <mergeCell ref="A22:B22"/>
    <mergeCell ref="C22:E22"/>
    <mergeCell ref="F22:K22"/>
    <mergeCell ref="L22:AX22"/>
    <mergeCell ref="A23:B23"/>
    <mergeCell ref="C23:E23"/>
    <mergeCell ref="F23:K23"/>
    <mergeCell ref="L23:AX23"/>
    <mergeCell ref="AY24:AZ24"/>
    <mergeCell ref="BA24:BE24"/>
    <mergeCell ref="BF22:BM22"/>
    <mergeCell ref="BN22:BU22"/>
    <mergeCell ref="AY23:AZ23"/>
    <mergeCell ref="BA23:BE23"/>
    <mergeCell ref="BF23:BM23"/>
    <mergeCell ref="BN23:BU23"/>
    <mergeCell ref="AY22:AZ22"/>
    <mergeCell ref="BA22:BE22"/>
    <mergeCell ref="A24:B24"/>
    <mergeCell ref="C24:E24"/>
    <mergeCell ref="F24:K24"/>
    <mergeCell ref="L24:AX24"/>
    <mergeCell ref="BF24:BM24"/>
    <mergeCell ref="BN24:BU24"/>
    <mergeCell ref="A25:B25"/>
    <mergeCell ref="C25:E25"/>
    <mergeCell ref="F25:K25"/>
    <mergeCell ref="L25:AX25"/>
    <mergeCell ref="AY25:AZ25"/>
    <mergeCell ref="BA25:BE25"/>
    <mergeCell ref="BF25:BM25"/>
    <mergeCell ref="BN25:BU25"/>
    <mergeCell ref="A26:B26"/>
    <mergeCell ref="C26:E26"/>
    <mergeCell ref="F26:K26"/>
    <mergeCell ref="L26:AX26"/>
    <mergeCell ref="A27:B27"/>
    <mergeCell ref="C27:E27"/>
    <mergeCell ref="F27:K27"/>
    <mergeCell ref="L27:AX27"/>
    <mergeCell ref="AY28:AZ28"/>
    <mergeCell ref="BA28:BE28"/>
    <mergeCell ref="BF26:BM26"/>
    <mergeCell ref="BN26:BU26"/>
    <mergeCell ref="AY27:AZ27"/>
    <mergeCell ref="BA27:BE27"/>
    <mergeCell ref="BF27:BM27"/>
    <mergeCell ref="BN27:BU27"/>
    <mergeCell ref="AY26:AZ26"/>
    <mergeCell ref="BA26:BE26"/>
    <mergeCell ref="A28:B28"/>
    <mergeCell ref="C28:E28"/>
    <mergeCell ref="F28:K28"/>
    <mergeCell ref="L28:AX28"/>
    <mergeCell ref="BF28:BM28"/>
    <mergeCell ref="BN28:BU28"/>
    <mergeCell ref="A29:B29"/>
    <mergeCell ref="C29:E29"/>
    <mergeCell ref="F29:K29"/>
    <mergeCell ref="L29:AX29"/>
    <mergeCell ref="AY29:AZ29"/>
    <mergeCell ref="BA29:BE29"/>
    <mergeCell ref="BF29:BM29"/>
    <mergeCell ref="BN29:BU29"/>
    <mergeCell ref="A30:B30"/>
    <mergeCell ref="C30:E30"/>
    <mergeCell ref="F30:K30"/>
    <mergeCell ref="L30:AX30"/>
    <mergeCell ref="A31:B31"/>
    <mergeCell ref="C31:E31"/>
    <mergeCell ref="F31:K31"/>
    <mergeCell ref="L31:AX31"/>
    <mergeCell ref="AY32:AZ32"/>
    <mergeCell ref="BA32:BE32"/>
    <mergeCell ref="BF30:BM30"/>
    <mergeCell ref="BN30:BU30"/>
    <mergeCell ref="AY31:AZ31"/>
    <mergeCell ref="BA31:BE31"/>
    <mergeCell ref="BF31:BM31"/>
    <mergeCell ref="BN31:BU31"/>
    <mergeCell ref="AY30:AZ30"/>
    <mergeCell ref="BA30:BE30"/>
    <mergeCell ref="A32:B32"/>
    <mergeCell ref="C32:E32"/>
    <mergeCell ref="F32:K32"/>
    <mergeCell ref="L32:AX32"/>
    <mergeCell ref="BF32:BM32"/>
    <mergeCell ref="BN32:BU32"/>
    <mergeCell ref="A33:B33"/>
    <mergeCell ref="C33:E33"/>
    <mergeCell ref="F33:K33"/>
    <mergeCell ref="L33:AX33"/>
    <mergeCell ref="AY33:AZ33"/>
    <mergeCell ref="BA33:BE33"/>
    <mergeCell ref="BF33:BM33"/>
    <mergeCell ref="BN33:BU33"/>
    <mergeCell ref="A34:B34"/>
    <mergeCell ref="C34:E34"/>
    <mergeCell ref="F34:K34"/>
    <mergeCell ref="L34:AX34"/>
    <mergeCell ref="A35:B35"/>
    <mergeCell ref="C35:E35"/>
    <mergeCell ref="F35:K35"/>
    <mergeCell ref="L35:AX35"/>
    <mergeCell ref="AY36:AZ36"/>
    <mergeCell ref="BA36:BE36"/>
    <mergeCell ref="BF34:BM34"/>
    <mergeCell ref="BN34:BU34"/>
    <mergeCell ref="AY35:AZ35"/>
    <mergeCell ref="BA35:BE35"/>
    <mergeCell ref="BF35:BM35"/>
    <mergeCell ref="BN35:BU35"/>
    <mergeCell ref="AY34:AZ34"/>
    <mergeCell ref="BA34:BE34"/>
    <mergeCell ref="A36:B36"/>
    <mergeCell ref="C36:E36"/>
    <mergeCell ref="F36:K36"/>
    <mergeCell ref="L36:AX36"/>
    <mergeCell ref="BF36:BM36"/>
    <mergeCell ref="BN36:BU36"/>
    <mergeCell ref="A37:B37"/>
    <mergeCell ref="C37:E37"/>
    <mergeCell ref="F37:K37"/>
    <mergeCell ref="L37:AX37"/>
    <mergeCell ref="AY37:AZ37"/>
    <mergeCell ref="BA37:BE37"/>
    <mergeCell ref="BF37:BM37"/>
    <mergeCell ref="BN37:BU37"/>
    <mergeCell ref="A38:B38"/>
    <mergeCell ref="C38:E38"/>
    <mergeCell ref="F38:K38"/>
    <mergeCell ref="L38:AX38"/>
    <mergeCell ref="A39:B39"/>
    <mergeCell ref="C39:E39"/>
    <mergeCell ref="F39:K39"/>
    <mergeCell ref="L39:AX39"/>
    <mergeCell ref="AY40:AZ40"/>
    <mergeCell ref="BA40:BE40"/>
    <mergeCell ref="BF38:BM38"/>
    <mergeCell ref="BN38:BU38"/>
    <mergeCell ref="AY39:AZ39"/>
    <mergeCell ref="BA39:BE39"/>
    <mergeCell ref="BF39:BM39"/>
    <mergeCell ref="BN39:BU39"/>
    <mergeCell ref="AY38:AZ38"/>
    <mergeCell ref="BA38:BE38"/>
    <mergeCell ref="A40:B40"/>
    <mergeCell ref="C40:E40"/>
    <mergeCell ref="F40:K40"/>
    <mergeCell ref="L40:AX40"/>
    <mergeCell ref="BF40:BM40"/>
    <mergeCell ref="BN40:BU40"/>
    <mergeCell ref="A41:B41"/>
    <mergeCell ref="C41:E41"/>
    <mergeCell ref="F41:K41"/>
    <mergeCell ref="L41:AX41"/>
    <mergeCell ref="AY41:AZ41"/>
    <mergeCell ref="BA41:BE41"/>
    <mergeCell ref="BF41:BM41"/>
    <mergeCell ref="BN41:BU41"/>
    <mergeCell ref="A42:B42"/>
    <mergeCell ref="C42:E42"/>
    <mergeCell ref="F42:K42"/>
    <mergeCell ref="L42:AX42"/>
    <mergeCell ref="A43:B43"/>
    <mergeCell ref="C43:E43"/>
    <mergeCell ref="F43:K43"/>
    <mergeCell ref="L43:AX43"/>
    <mergeCell ref="AY44:AZ44"/>
    <mergeCell ref="BA44:BE44"/>
    <mergeCell ref="BF42:BM42"/>
    <mergeCell ref="BN42:BU42"/>
    <mergeCell ref="AY43:AZ43"/>
    <mergeCell ref="BA43:BE43"/>
    <mergeCell ref="BF43:BM43"/>
    <mergeCell ref="BN43:BU43"/>
    <mergeCell ref="AY42:AZ42"/>
    <mergeCell ref="BA42:BE42"/>
    <mergeCell ref="A44:B44"/>
    <mergeCell ref="C44:E44"/>
    <mergeCell ref="F44:K44"/>
    <mergeCell ref="L44:AX44"/>
    <mergeCell ref="BF44:BM44"/>
    <mergeCell ref="BN44:BU44"/>
    <mergeCell ref="A45:B45"/>
    <mergeCell ref="C45:E45"/>
    <mergeCell ref="F45:K45"/>
    <mergeCell ref="L45:AX45"/>
    <mergeCell ref="AY45:AZ45"/>
    <mergeCell ref="BA45:BE45"/>
    <mergeCell ref="BF45:BM45"/>
    <mergeCell ref="BN45:BU45"/>
    <mergeCell ref="A46:B46"/>
    <mergeCell ref="C46:E46"/>
    <mergeCell ref="F46:K46"/>
    <mergeCell ref="L46:AX46"/>
    <mergeCell ref="A47:B47"/>
    <mergeCell ref="C47:E47"/>
    <mergeCell ref="F47:K47"/>
    <mergeCell ref="L47:AX47"/>
    <mergeCell ref="AY48:AZ48"/>
    <mergeCell ref="BA48:BE48"/>
    <mergeCell ref="BF46:BM46"/>
    <mergeCell ref="BN46:BU46"/>
    <mergeCell ref="AY47:AZ47"/>
    <mergeCell ref="BA47:BE47"/>
    <mergeCell ref="BF47:BM47"/>
    <mergeCell ref="BN47:BU47"/>
    <mergeCell ref="AY46:AZ46"/>
    <mergeCell ref="BA46:BE46"/>
    <mergeCell ref="A48:B48"/>
    <mergeCell ref="C48:E48"/>
    <mergeCell ref="F48:K48"/>
    <mergeCell ref="L48:AX48"/>
    <mergeCell ref="BF48:BM48"/>
    <mergeCell ref="BN48:BU48"/>
    <mergeCell ref="A49:B49"/>
    <mergeCell ref="C49:E49"/>
    <mergeCell ref="F49:K49"/>
    <mergeCell ref="L49:AX49"/>
    <mergeCell ref="AY49:AZ49"/>
    <mergeCell ref="BA49:BE49"/>
    <mergeCell ref="BF49:BM49"/>
    <mergeCell ref="BN49:BU49"/>
    <mergeCell ref="A50:B50"/>
    <mergeCell ref="C50:E50"/>
    <mergeCell ref="F50:K50"/>
    <mergeCell ref="L50:AX50"/>
    <mergeCell ref="A51:B51"/>
    <mergeCell ref="C51:E51"/>
    <mergeCell ref="F51:K51"/>
    <mergeCell ref="L51:AX51"/>
    <mergeCell ref="AY52:AZ52"/>
    <mergeCell ref="BA52:BE52"/>
    <mergeCell ref="BF50:BM50"/>
    <mergeCell ref="BN50:BU50"/>
    <mergeCell ref="AY51:AZ51"/>
    <mergeCell ref="BA51:BE51"/>
    <mergeCell ref="BF51:BM51"/>
    <mergeCell ref="BN51:BU51"/>
    <mergeCell ref="AY50:AZ50"/>
    <mergeCell ref="BA50:BE50"/>
    <mergeCell ref="A52:B52"/>
    <mergeCell ref="C52:E52"/>
    <mergeCell ref="F52:K52"/>
    <mergeCell ref="L52:AX52"/>
    <mergeCell ref="BF52:BM52"/>
    <mergeCell ref="BN52:BU52"/>
    <mergeCell ref="A53:B53"/>
    <mergeCell ref="C53:E53"/>
    <mergeCell ref="F53:K53"/>
    <mergeCell ref="L53:AX53"/>
    <mergeCell ref="AY53:AZ53"/>
    <mergeCell ref="BA53:BE53"/>
    <mergeCell ref="BF53:BM53"/>
    <mergeCell ref="BN53:BU53"/>
    <mergeCell ref="A54:B54"/>
    <mergeCell ref="C54:E54"/>
    <mergeCell ref="F54:K54"/>
    <mergeCell ref="L54:AX54"/>
    <mergeCell ref="A55:B55"/>
    <mergeCell ref="C55:E55"/>
    <mergeCell ref="F55:K55"/>
    <mergeCell ref="L55:AX55"/>
    <mergeCell ref="AY56:AZ56"/>
    <mergeCell ref="BA56:BE56"/>
    <mergeCell ref="BF54:BM54"/>
    <mergeCell ref="BN54:BU54"/>
    <mergeCell ref="AY55:AZ55"/>
    <mergeCell ref="BA55:BE55"/>
    <mergeCell ref="BF55:BM55"/>
    <mergeCell ref="BN55:BU55"/>
    <mergeCell ref="AY54:AZ54"/>
    <mergeCell ref="BA54:BE54"/>
    <mergeCell ref="A56:B56"/>
    <mergeCell ref="C56:E56"/>
    <mergeCell ref="F56:K56"/>
    <mergeCell ref="L56:AX56"/>
    <mergeCell ref="BF56:BM56"/>
    <mergeCell ref="BN56:BU56"/>
    <mergeCell ref="A57:B57"/>
    <mergeCell ref="C57:E57"/>
    <mergeCell ref="F57:K57"/>
    <mergeCell ref="L57:AX57"/>
    <mergeCell ref="AY57:AZ57"/>
    <mergeCell ref="BA57:BE57"/>
    <mergeCell ref="BF57:BM57"/>
    <mergeCell ref="BN57:BU57"/>
    <mergeCell ref="A58:B58"/>
    <mergeCell ref="C58:E58"/>
    <mergeCell ref="F58:K58"/>
    <mergeCell ref="L58:AX58"/>
    <mergeCell ref="A59:B59"/>
    <mergeCell ref="C59:E59"/>
    <mergeCell ref="F59:K59"/>
    <mergeCell ref="L59:AX59"/>
    <mergeCell ref="AY60:AZ60"/>
    <mergeCell ref="BA60:BE60"/>
    <mergeCell ref="BF58:BM58"/>
    <mergeCell ref="BN58:BU58"/>
    <mergeCell ref="AY59:AZ59"/>
    <mergeCell ref="BA59:BE59"/>
    <mergeCell ref="BF59:BM59"/>
    <mergeCell ref="BN59:BU59"/>
    <mergeCell ref="AY58:AZ58"/>
    <mergeCell ref="BA58:BE58"/>
    <mergeCell ref="A60:B60"/>
    <mergeCell ref="C60:E60"/>
    <mergeCell ref="F60:K60"/>
    <mergeCell ref="L60:AX60"/>
    <mergeCell ref="BF60:BM60"/>
    <mergeCell ref="BN60:BU60"/>
    <mergeCell ref="A61:B61"/>
    <mergeCell ref="C61:E61"/>
    <mergeCell ref="F61:K61"/>
    <mergeCell ref="L61:AX61"/>
    <mergeCell ref="AY61:AZ61"/>
    <mergeCell ref="BA61:BE61"/>
    <mergeCell ref="BF61:BM61"/>
    <mergeCell ref="BN61:BU61"/>
    <mergeCell ref="A62:B62"/>
    <mergeCell ref="C62:E62"/>
    <mergeCell ref="F62:K62"/>
    <mergeCell ref="L62:AX62"/>
    <mergeCell ref="A63:B63"/>
    <mergeCell ref="C63:E63"/>
    <mergeCell ref="F63:K63"/>
    <mergeCell ref="L63:AX63"/>
    <mergeCell ref="AY64:AZ64"/>
    <mergeCell ref="BA64:BE64"/>
    <mergeCell ref="BF62:BM62"/>
    <mergeCell ref="BN62:BU62"/>
    <mergeCell ref="AY63:AZ63"/>
    <mergeCell ref="BA63:BE63"/>
    <mergeCell ref="BF63:BM63"/>
    <mergeCell ref="BN63:BU63"/>
    <mergeCell ref="AY62:AZ62"/>
    <mergeCell ref="BA62:BE62"/>
    <mergeCell ref="A64:B64"/>
    <mergeCell ref="C64:E64"/>
    <mergeCell ref="F64:K64"/>
    <mergeCell ref="L64:AX64"/>
    <mergeCell ref="BF64:BM64"/>
    <mergeCell ref="BN64:BU64"/>
    <mergeCell ref="A65:B65"/>
    <mergeCell ref="C65:E65"/>
    <mergeCell ref="F65:K65"/>
    <mergeCell ref="L65:AX65"/>
    <mergeCell ref="AY65:AZ65"/>
    <mergeCell ref="BA65:BE65"/>
    <mergeCell ref="BF65:BM65"/>
    <mergeCell ref="BN65:BU65"/>
    <mergeCell ref="A66:B66"/>
    <mergeCell ref="C66:E66"/>
    <mergeCell ref="F66:K66"/>
    <mergeCell ref="L66:AX66"/>
    <mergeCell ref="A67:B67"/>
    <mergeCell ref="C67:E67"/>
    <mergeCell ref="F67:K67"/>
    <mergeCell ref="L67:AX67"/>
    <mergeCell ref="AY68:AZ68"/>
    <mergeCell ref="BA68:BE68"/>
    <mergeCell ref="BF66:BM66"/>
    <mergeCell ref="BN66:BU66"/>
    <mergeCell ref="AY67:AZ67"/>
    <mergeCell ref="BA67:BE67"/>
    <mergeCell ref="BF67:BM67"/>
    <mergeCell ref="BN67:BU67"/>
    <mergeCell ref="AY66:AZ66"/>
    <mergeCell ref="BA66:BE66"/>
    <mergeCell ref="A68:B68"/>
    <mergeCell ref="C68:E68"/>
    <mergeCell ref="F68:K68"/>
    <mergeCell ref="L68:AX68"/>
    <mergeCell ref="BF68:BM68"/>
    <mergeCell ref="BN68:BU68"/>
    <mergeCell ref="A69:B69"/>
    <mergeCell ref="C69:E69"/>
    <mergeCell ref="F69:K69"/>
    <mergeCell ref="L69:AX69"/>
    <mergeCell ref="AY69:AZ69"/>
    <mergeCell ref="BA69:BE69"/>
    <mergeCell ref="BF69:BM69"/>
    <mergeCell ref="BN69:BU69"/>
    <mergeCell ref="A70:B70"/>
    <mergeCell ref="C70:E70"/>
    <mergeCell ref="F70:K70"/>
    <mergeCell ref="L70:AX70"/>
    <mergeCell ref="A71:B71"/>
    <mergeCell ref="C71:E71"/>
    <mergeCell ref="F71:K71"/>
    <mergeCell ref="L71:AX71"/>
    <mergeCell ref="AY72:AZ72"/>
    <mergeCell ref="BA72:BE72"/>
    <mergeCell ref="BF70:BM70"/>
    <mergeCell ref="BN70:BU70"/>
    <mergeCell ref="AY71:AZ71"/>
    <mergeCell ref="BA71:BE71"/>
    <mergeCell ref="BF71:BM71"/>
    <mergeCell ref="BN71:BU71"/>
    <mergeCell ref="AY70:AZ70"/>
    <mergeCell ref="BA70:BE70"/>
    <mergeCell ref="A72:B72"/>
    <mergeCell ref="C72:E72"/>
    <mergeCell ref="F72:K72"/>
    <mergeCell ref="L72:AX72"/>
    <mergeCell ref="BF72:BM72"/>
    <mergeCell ref="BN72:BU72"/>
    <mergeCell ref="A73:B73"/>
    <mergeCell ref="C73:E73"/>
    <mergeCell ref="F73:K73"/>
    <mergeCell ref="L73:AX73"/>
    <mergeCell ref="AY73:AZ73"/>
    <mergeCell ref="BA73:BE73"/>
    <mergeCell ref="BF73:BM73"/>
    <mergeCell ref="BN73:BU73"/>
    <mergeCell ref="A74:B74"/>
    <mergeCell ref="C74:E74"/>
    <mergeCell ref="F74:K74"/>
    <mergeCell ref="L74:AX74"/>
    <mergeCell ref="A75:B75"/>
    <mergeCell ref="C75:E75"/>
    <mergeCell ref="F75:K75"/>
    <mergeCell ref="L75:AX75"/>
    <mergeCell ref="AY76:AZ76"/>
    <mergeCell ref="BA76:BE76"/>
    <mergeCell ref="BF74:BM74"/>
    <mergeCell ref="BN74:BU74"/>
    <mergeCell ref="AY75:AZ75"/>
    <mergeCell ref="BA75:BE75"/>
    <mergeCell ref="BF75:BM75"/>
    <mergeCell ref="BN75:BU75"/>
    <mergeCell ref="AY74:AZ74"/>
    <mergeCell ref="BA74:BE74"/>
    <mergeCell ref="A76:B76"/>
    <mergeCell ref="C76:E76"/>
    <mergeCell ref="F76:K76"/>
    <mergeCell ref="L76:AX76"/>
    <mergeCell ref="BF76:BM76"/>
    <mergeCell ref="BN76:BU76"/>
    <mergeCell ref="A77:B77"/>
    <mergeCell ref="C77:E77"/>
    <mergeCell ref="F77:K77"/>
    <mergeCell ref="L77:AX77"/>
    <mergeCell ref="AY77:AZ77"/>
    <mergeCell ref="BA77:BE77"/>
    <mergeCell ref="BF77:BM77"/>
    <mergeCell ref="BN77:BU77"/>
    <mergeCell ref="A78:B78"/>
    <mergeCell ref="C78:E78"/>
    <mergeCell ref="F78:K78"/>
    <mergeCell ref="L78:AX78"/>
    <mergeCell ref="A79:B79"/>
    <mergeCell ref="C79:E79"/>
    <mergeCell ref="F79:K79"/>
    <mergeCell ref="L79:AX79"/>
    <mergeCell ref="AY80:AZ80"/>
    <mergeCell ref="BA80:BE80"/>
    <mergeCell ref="BF78:BM78"/>
    <mergeCell ref="BN78:BU78"/>
    <mergeCell ref="AY79:AZ79"/>
    <mergeCell ref="BA79:BE79"/>
    <mergeCell ref="BF79:BM79"/>
    <mergeCell ref="BN79:BU79"/>
    <mergeCell ref="AY78:AZ78"/>
    <mergeCell ref="BA78:BE78"/>
    <mergeCell ref="A80:B80"/>
    <mergeCell ref="C80:E80"/>
    <mergeCell ref="F80:K80"/>
    <mergeCell ref="L80:AX80"/>
    <mergeCell ref="BF80:BM80"/>
    <mergeCell ref="BN80:BU80"/>
    <mergeCell ref="A81:B81"/>
    <mergeCell ref="C81:E81"/>
    <mergeCell ref="F81:K81"/>
    <mergeCell ref="L81:AX81"/>
    <mergeCell ref="AY81:AZ81"/>
    <mergeCell ref="BA81:BE81"/>
    <mergeCell ref="BF81:BM81"/>
    <mergeCell ref="BN81:BU81"/>
    <mergeCell ref="A82:B82"/>
    <mergeCell ref="C82:E82"/>
    <mergeCell ref="F82:K82"/>
    <mergeCell ref="L82:AX82"/>
    <mergeCell ref="A83:B83"/>
    <mergeCell ref="C83:E83"/>
    <mergeCell ref="F83:K83"/>
    <mergeCell ref="L83:AX83"/>
    <mergeCell ref="AY84:AZ84"/>
    <mergeCell ref="BA84:BE84"/>
    <mergeCell ref="BF82:BM82"/>
    <mergeCell ref="BN82:BU82"/>
    <mergeCell ref="AY83:AZ83"/>
    <mergeCell ref="BA83:BE83"/>
    <mergeCell ref="BF83:BM83"/>
    <mergeCell ref="BN83:BU83"/>
    <mergeCell ref="AY82:AZ82"/>
    <mergeCell ref="BA82:BE82"/>
    <mergeCell ref="A84:B84"/>
    <mergeCell ref="C84:E84"/>
    <mergeCell ref="F84:K84"/>
    <mergeCell ref="L84:AX84"/>
    <mergeCell ref="BF84:BM84"/>
    <mergeCell ref="BN84:BU84"/>
    <mergeCell ref="A85:B85"/>
    <mergeCell ref="C85:E85"/>
    <mergeCell ref="F85:K85"/>
    <mergeCell ref="L85:AX85"/>
    <mergeCell ref="AY85:AZ85"/>
    <mergeCell ref="BA85:BE85"/>
    <mergeCell ref="BF85:BM85"/>
    <mergeCell ref="BN85:BU85"/>
    <mergeCell ref="A86:B86"/>
    <mergeCell ref="C86:E86"/>
    <mergeCell ref="F86:K86"/>
    <mergeCell ref="L86:AX86"/>
    <mergeCell ref="A87:B87"/>
    <mergeCell ref="C87:E87"/>
    <mergeCell ref="F87:K87"/>
    <mergeCell ref="L87:AX87"/>
    <mergeCell ref="AY88:AZ88"/>
    <mergeCell ref="BA88:BE88"/>
    <mergeCell ref="BF86:BM86"/>
    <mergeCell ref="BN86:BU86"/>
    <mergeCell ref="AY87:AZ87"/>
    <mergeCell ref="BA87:BE87"/>
    <mergeCell ref="BF87:BM87"/>
    <mergeCell ref="BN87:BU87"/>
    <mergeCell ref="AY86:AZ86"/>
    <mergeCell ref="BA86:BE86"/>
    <mergeCell ref="A88:B88"/>
    <mergeCell ref="C88:E88"/>
    <mergeCell ref="F88:K88"/>
    <mergeCell ref="L88:AX88"/>
    <mergeCell ref="BF88:BM88"/>
    <mergeCell ref="BN88:BU88"/>
    <mergeCell ref="A89:B89"/>
    <mergeCell ref="C89:E89"/>
    <mergeCell ref="F89:K89"/>
    <mergeCell ref="L89:AX89"/>
    <mergeCell ref="AY89:AZ89"/>
    <mergeCell ref="BA89:BE89"/>
    <mergeCell ref="BF89:BM89"/>
    <mergeCell ref="BN89:BU89"/>
    <mergeCell ref="A90:B90"/>
    <mergeCell ref="C90:E90"/>
    <mergeCell ref="F90:K90"/>
    <mergeCell ref="L90:AX90"/>
    <mergeCell ref="A91:B91"/>
    <mergeCell ref="C91:E91"/>
    <mergeCell ref="F91:K91"/>
    <mergeCell ref="L91:AX91"/>
    <mergeCell ref="AY92:AZ92"/>
    <mergeCell ref="BA92:BE92"/>
    <mergeCell ref="BF90:BM90"/>
    <mergeCell ref="BN90:BU90"/>
    <mergeCell ref="AY91:AZ91"/>
    <mergeCell ref="BA91:BE91"/>
    <mergeCell ref="BF91:BM91"/>
    <mergeCell ref="BN91:BU91"/>
    <mergeCell ref="AY90:AZ90"/>
    <mergeCell ref="BA90:BE90"/>
    <mergeCell ref="A92:B92"/>
    <mergeCell ref="C92:E92"/>
    <mergeCell ref="F92:K92"/>
    <mergeCell ref="L92:AX92"/>
    <mergeCell ref="BF92:BM92"/>
    <mergeCell ref="BN92:BU92"/>
    <mergeCell ref="A93:B93"/>
    <mergeCell ref="C93:E93"/>
    <mergeCell ref="F93:K93"/>
    <mergeCell ref="L93:AX93"/>
    <mergeCell ref="AY93:AZ93"/>
    <mergeCell ref="BA93:BE93"/>
    <mergeCell ref="BF93:BM93"/>
    <mergeCell ref="BN93:BU93"/>
    <mergeCell ref="A94:B94"/>
    <mergeCell ref="C94:E94"/>
    <mergeCell ref="F94:K94"/>
    <mergeCell ref="L94:AX94"/>
    <mergeCell ref="A95:B95"/>
    <mergeCell ref="C95:E95"/>
    <mergeCell ref="F95:K95"/>
    <mergeCell ref="L95:AX95"/>
    <mergeCell ref="AY96:AZ96"/>
    <mergeCell ref="BA96:BE96"/>
    <mergeCell ref="BF94:BM94"/>
    <mergeCell ref="BN94:BU94"/>
    <mergeCell ref="AY95:AZ95"/>
    <mergeCell ref="BA95:BE95"/>
    <mergeCell ref="BF95:BM95"/>
    <mergeCell ref="BN95:BU95"/>
    <mergeCell ref="AY94:AZ94"/>
    <mergeCell ref="BA94:BE94"/>
    <mergeCell ref="A96:B96"/>
    <mergeCell ref="C96:E96"/>
    <mergeCell ref="F96:K96"/>
    <mergeCell ref="L96:AX96"/>
    <mergeCell ref="BF96:BM96"/>
    <mergeCell ref="BN96:BU96"/>
    <mergeCell ref="A97:B97"/>
    <mergeCell ref="C97:E97"/>
    <mergeCell ref="F97:K97"/>
    <mergeCell ref="L97:AX97"/>
    <mergeCell ref="AY97:AZ97"/>
    <mergeCell ref="BA97:BE97"/>
    <mergeCell ref="BF97:BM97"/>
    <mergeCell ref="BN97:BU97"/>
    <mergeCell ref="A98:B98"/>
    <mergeCell ref="C98:E98"/>
    <mergeCell ref="F98:K98"/>
    <mergeCell ref="L98:AX98"/>
    <mergeCell ref="A99:B99"/>
    <mergeCell ref="C99:E99"/>
    <mergeCell ref="F99:K99"/>
    <mergeCell ref="L99:AX99"/>
    <mergeCell ref="AY100:AZ100"/>
    <mergeCell ref="BA100:BE100"/>
    <mergeCell ref="BF98:BM98"/>
    <mergeCell ref="BN98:BU98"/>
    <mergeCell ref="AY99:AZ99"/>
    <mergeCell ref="BA99:BE99"/>
    <mergeCell ref="BF99:BM99"/>
    <mergeCell ref="BN99:BU99"/>
    <mergeCell ref="AY98:AZ98"/>
    <mergeCell ref="BA98:BE98"/>
    <mergeCell ref="A100:B100"/>
    <mergeCell ref="C100:E100"/>
    <mergeCell ref="F100:K100"/>
    <mergeCell ref="L100:AX100"/>
    <mergeCell ref="BF100:BM100"/>
    <mergeCell ref="BN100:BU100"/>
    <mergeCell ref="A101:B101"/>
    <mergeCell ref="C101:E101"/>
    <mergeCell ref="F101:K101"/>
    <mergeCell ref="L101:AX101"/>
    <mergeCell ref="AY101:AZ101"/>
    <mergeCell ref="BA101:BE101"/>
    <mergeCell ref="BF101:BM101"/>
    <mergeCell ref="BN101:BU101"/>
    <mergeCell ref="A102:B102"/>
    <mergeCell ref="C102:E102"/>
    <mergeCell ref="F102:K102"/>
    <mergeCell ref="L102:AX102"/>
    <mergeCell ref="A103:B103"/>
    <mergeCell ref="C103:E103"/>
    <mergeCell ref="F103:K103"/>
    <mergeCell ref="L103:AX103"/>
    <mergeCell ref="AY104:AZ104"/>
    <mergeCell ref="BA104:BE104"/>
    <mergeCell ref="BF102:BM102"/>
    <mergeCell ref="BN102:BU102"/>
    <mergeCell ref="AY103:AZ103"/>
    <mergeCell ref="BA103:BE103"/>
    <mergeCell ref="BF103:BM103"/>
    <mergeCell ref="BN103:BU103"/>
    <mergeCell ref="AY102:AZ102"/>
    <mergeCell ref="BA102:BE102"/>
    <mergeCell ref="A104:B104"/>
    <mergeCell ref="C104:E104"/>
    <mergeCell ref="F104:K104"/>
    <mergeCell ref="L104:AX104"/>
    <mergeCell ref="BF104:BM104"/>
    <mergeCell ref="BN104:BU104"/>
    <mergeCell ref="A105:B105"/>
    <mergeCell ref="C105:E105"/>
    <mergeCell ref="F105:K105"/>
    <mergeCell ref="L105:AX105"/>
    <mergeCell ref="AY105:AZ105"/>
    <mergeCell ref="BA105:BE105"/>
    <mergeCell ref="BF105:BM105"/>
    <mergeCell ref="BN105:BU105"/>
    <mergeCell ref="A106:B106"/>
    <mergeCell ref="C106:E106"/>
    <mergeCell ref="F106:K106"/>
    <mergeCell ref="L106:AX106"/>
    <mergeCell ref="A107:B107"/>
    <mergeCell ref="C107:E107"/>
    <mergeCell ref="F107:K107"/>
    <mergeCell ref="L107:AX107"/>
    <mergeCell ref="AY108:AZ108"/>
    <mergeCell ref="BA108:BE108"/>
    <mergeCell ref="BF106:BM106"/>
    <mergeCell ref="BN106:BU106"/>
    <mergeCell ref="AY107:AZ107"/>
    <mergeCell ref="BA107:BE107"/>
    <mergeCell ref="BF107:BM107"/>
    <mergeCell ref="BN107:BU107"/>
    <mergeCell ref="AY106:AZ106"/>
    <mergeCell ref="BA106:BE106"/>
    <mergeCell ref="A108:B108"/>
    <mergeCell ref="C108:E108"/>
    <mergeCell ref="F108:K108"/>
    <mergeCell ref="L108:AX108"/>
    <mergeCell ref="BF108:BM108"/>
    <mergeCell ref="BN108:BU108"/>
    <mergeCell ref="A109:B109"/>
    <mergeCell ref="C109:E109"/>
    <mergeCell ref="F109:K109"/>
    <mergeCell ref="L109:AX109"/>
    <mergeCell ref="AY109:AZ109"/>
    <mergeCell ref="BA109:BE109"/>
    <mergeCell ref="BF109:BM109"/>
    <mergeCell ref="BN109:BU109"/>
    <mergeCell ref="A110:B110"/>
    <mergeCell ref="C110:E110"/>
    <mergeCell ref="F110:K110"/>
    <mergeCell ref="L110:AX110"/>
    <mergeCell ref="A111:B111"/>
    <mergeCell ref="C111:E111"/>
    <mergeCell ref="F111:K111"/>
    <mergeCell ref="L111:AX111"/>
    <mergeCell ref="AY112:AZ112"/>
    <mergeCell ref="BA112:BE112"/>
    <mergeCell ref="BF110:BM110"/>
    <mergeCell ref="BN110:BU110"/>
    <mergeCell ref="AY111:AZ111"/>
    <mergeCell ref="BA111:BE111"/>
    <mergeCell ref="BF111:BM111"/>
    <mergeCell ref="BN111:BU111"/>
    <mergeCell ref="AY110:AZ110"/>
    <mergeCell ref="BA110:BE110"/>
    <mergeCell ref="A112:B112"/>
    <mergeCell ref="C112:E112"/>
    <mergeCell ref="F112:K112"/>
    <mergeCell ref="L112:AX112"/>
    <mergeCell ref="BF112:BM112"/>
    <mergeCell ref="BN112:BU112"/>
    <mergeCell ref="A113:B113"/>
    <mergeCell ref="C113:E113"/>
    <mergeCell ref="F113:K113"/>
    <mergeCell ref="L113:AX113"/>
    <mergeCell ref="AY113:AZ113"/>
    <mergeCell ref="BA113:BE113"/>
    <mergeCell ref="BF113:BM113"/>
    <mergeCell ref="BN113:BU113"/>
    <mergeCell ref="A114:B114"/>
    <mergeCell ref="C114:E114"/>
    <mergeCell ref="F114:K114"/>
    <mergeCell ref="L114:AX114"/>
    <mergeCell ref="A115:B115"/>
    <mergeCell ref="C115:E115"/>
    <mergeCell ref="F115:K115"/>
    <mergeCell ref="L115:AX115"/>
    <mergeCell ref="AY116:AZ116"/>
    <mergeCell ref="BA116:BE116"/>
    <mergeCell ref="BF114:BM114"/>
    <mergeCell ref="BN114:BU114"/>
    <mergeCell ref="AY115:AZ115"/>
    <mergeCell ref="BA115:BE115"/>
    <mergeCell ref="BF115:BM115"/>
    <mergeCell ref="BN115:BU115"/>
    <mergeCell ref="AY114:AZ114"/>
    <mergeCell ref="BA114:BE114"/>
    <mergeCell ref="A116:B116"/>
    <mergeCell ref="C116:E116"/>
    <mergeCell ref="F116:K116"/>
    <mergeCell ref="L116:AX116"/>
    <mergeCell ref="BF116:BM116"/>
    <mergeCell ref="BN116:BU116"/>
    <mergeCell ref="A117:B117"/>
    <mergeCell ref="C117:E117"/>
    <mergeCell ref="F117:K117"/>
    <mergeCell ref="L117:AX117"/>
    <mergeCell ref="AY117:AZ117"/>
    <mergeCell ref="BA117:BE117"/>
    <mergeCell ref="BF117:BM117"/>
    <mergeCell ref="BN117:BU117"/>
    <mergeCell ref="A118:B118"/>
    <mergeCell ref="C118:E118"/>
    <mergeCell ref="F118:K118"/>
    <mergeCell ref="L118:AX118"/>
    <mergeCell ref="A119:B119"/>
    <mergeCell ref="C119:E119"/>
    <mergeCell ref="F119:K119"/>
    <mergeCell ref="L119:AX119"/>
    <mergeCell ref="AY120:AZ120"/>
    <mergeCell ref="BA120:BE120"/>
    <mergeCell ref="BF118:BM118"/>
    <mergeCell ref="BN118:BU118"/>
    <mergeCell ref="AY119:AZ119"/>
    <mergeCell ref="BA119:BE119"/>
    <mergeCell ref="BF119:BM119"/>
    <mergeCell ref="BN119:BU119"/>
    <mergeCell ref="AY118:AZ118"/>
    <mergeCell ref="BA118:BE118"/>
    <mergeCell ref="A120:B120"/>
    <mergeCell ref="C120:E120"/>
    <mergeCell ref="F120:K120"/>
    <mergeCell ref="L120:AX120"/>
    <mergeCell ref="BF120:BM120"/>
    <mergeCell ref="BN120:BU120"/>
    <mergeCell ref="A121:B121"/>
    <mergeCell ref="C121:E121"/>
    <mergeCell ref="F121:K121"/>
    <mergeCell ref="L121:AX121"/>
    <mergeCell ref="AY121:AZ121"/>
    <mergeCell ref="BA121:BE121"/>
    <mergeCell ref="BF121:BM121"/>
    <mergeCell ref="BN121:BU121"/>
    <mergeCell ref="A122:B122"/>
    <mergeCell ref="C122:E122"/>
    <mergeCell ref="F122:K122"/>
    <mergeCell ref="L122:AX122"/>
    <mergeCell ref="A123:B123"/>
    <mergeCell ref="C123:E123"/>
    <mergeCell ref="F123:K123"/>
    <mergeCell ref="L123:AX123"/>
    <mergeCell ref="AY124:AZ124"/>
    <mergeCell ref="BA124:BE124"/>
    <mergeCell ref="BF122:BM122"/>
    <mergeCell ref="BN122:BU122"/>
    <mergeCell ref="AY123:AZ123"/>
    <mergeCell ref="BA123:BE123"/>
    <mergeCell ref="BF123:BM123"/>
    <mergeCell ref="BN123:BU123"/>
    <mergeCell ref="AY122:AZ122"/>
    <mergeCell ref="BA122:BE122"/>
    <mergeCell ref="A124:B124"/>
    <mergeCell ref="C124:E124"/>
    <mergeCell ref="F124:K124"/>
    <mergeCell ref="L124:AX124"/>
    <mergeCell ref="BF124:BM124"/>
    <mergeCell ref="BN124:BU124"/>
    <mergeCell ref="A125:B125"/>
    <mergeCell ref="C125:E125"/>
    <mergeCell ref="F125:K125"/>
    <mergeCell ref="L125:AX125"/>
    <mergeCell ref="AY125:AZ125"/>
    <mergeCell ref="BA125:BE125"/>
    <mergeCell ref="BF125:BM125"/>
    <mergeCell ref="BN125:BU125"/>
    <mergeCell ref="A126:B126"/>
    <mergeCell ref="C126:E126"/>
    <mergeCell ref="F126:K126"/>
    <mergeCell ref="L126:AX126"/>
    <mergeCell ref="A127:B127"/>
    <mergeCell ref="C127:E127"/>
    <mergeCell ref="F127:K127"/>
    <mergeCell ref="L127:AX127"/>
    <mergeCell ref="AY128:AZ128"/>
    <mergeCell ref="BA128:BE128"/>
    <mergeCell ref="BF126:BM126"/>
    <mergeCell ref="BN126:BU126"/>
    <mergeCell ref="AY127:AZ127"/>
    <mergeCell ref="BA127:BE127"/>
    <mergeCell ref="BF127:BM127"/>
    <mergeCell ref="BN127:BU127"/>
    <mergeCell ref="AY126:AZ126"/>
    <mergeCell ref="BA126:BE126"/>
    <mergeCell ref="A128:B128"/>
    <mergeCell ref="C128:E128"/>
    <mergeCell ref="F128:K128"/>
    <mergeCell ref="L128:AX128"/>
    <mergeCell ref="BF128:BM128"/>
    <mergeCell ref="BN128:BU128"/>
    <mergeCell ref="A129:B129"/>
    <mergeCell ref="C129:E129"/>
    <mergeCell ref="F129:K129"/>
    <mergeCell ref="L129:AX129"/>
    <mergeCell ref="AY129:AZ129"/>
    <mergeCell ref="BA129:BE129"/>
    <mergeCell ref="BF129:BM129"/>
    <mergeCell ref="BN129:BU129"/>
    <mergeCell ref="A130:B130"/>
    <mergeCell ref="C130:E130"/>
    <mergeCell ref="F130:K130"/>
    <mergeCell ref="L130:AX130"/>
    <mergeCell ref="A131:B131"/>
    <mergeCell ref="C131:E131"/>
    <mergeCell ref="F131:K131"/>
    <mergeCell ref="L131:AX131"/>
    <mergeCell ref="AY132:AZ132"/>
    <mergeCell ref="BA132:BE132"/>
    <mergeCell ref="BF130:BM130"/>
    <mergeCell ref="BN130:BU130"/>
    <mergeCell ref="AY131:AZ131"/>
    <mergeCell ref="BA131:BE131"/>
    <mergeCell ref="BF131:BM131"/>
    <mergeCell ref="BN131:BU131"/>
    <mergeCell ref="AY130:AZ130"/>
    <mergeCell ref="BA130:BE130"/>
    <mergeCell ref="A132:B132"/>
    <mergeCell ref="C132:E132"/>
    <mergeCell ref="F132:K132"/>
    <mergeCell ref="L132:AX132"/>
    <mergeCell ref="BF132:BM132"/>
    <mergeCell ref="BN132:BU132"/>
    <mergeCell ref="A133:B133"/>
    <mergeCell ref="C133:E133"/>
    <mergeCell ref="F133:K133"/>
    <mergeCell ref="L133:AX133"/>
    <mergeCell ref="AY133:AZ133"/>
    <mergeCell ref="BA133:BE133"/>
    <mergeCell ref="BF133:BM133"/>
    <mergeCell ref="BN133:BU133"/>
    <mergeCell ref="A134:B134"/>
    <mergeCell ref="C134:E134"/>
    <mergeCell ref="F134:K134"/>
    <mergeCell ref="L134:AX134"/>
    <mergeCell ref="A135:B135"/>
    <mergeCell ref="C135:E135"/>
    <mergeCell ref="F135:K135"/>
    <mergeCell ref="L135:AX135"/>
    <mergeCell ref="AY136:AZ136"/>
    <mergeCell ref="BA136:BE136"/>
    <mergeCell ref="BF134:BM134"/>
    <mergeCell ref="BN134:BU134"/>
    <mergeCell ref="AY135:AZ135"/>
    <mergeCell ref="BA135:BE135"/>
    <mergeCell ref="BF135:BM135"/>
    <mergeCell ref="BN135:BU135"/>
    <mergeCell ref="AY134:AZ134"/>
    <mergeCell ref="BA134:BE134"/>
    <mergeCell ref="A136:B136"/>
    <mergeCell ref="C136:E136"/>
    <mergeCell ref="F136:K136"/>
    <mergeCell ref="L136:AX136"/>
    <mergeCell ref="BF136:BM136"/>
    <mergeCell ref="BN136:BU136"/>
    <mergeCell ref="A137:B137"/>
    <mergeCell ref="C137:E137"/>
    <mergeCell ref="F137:K137"/>
    <mergeCell ref="L137:AX137"/>
    <mergeCell ref="AY137:AZ137"/>
    <mergeCell ref="BA137:BE137"/>
    <mergeCell ref="BF137:BM137"/>
    <mergeCell ref="BN137:BU137"/>
    <mergeCell ref="A138:B138"/>
    <mergeCell ref="C138:E138"/>
    <mergeCell ref="F138:K138"/>
    <mergeCell ref="L138:AX138"/>
    <mergeCell ref="A139:B139"/>
    <mergeCell ref="C139:E139"/>
    <mergeCell ref="F139:K139"/>
    <mergeCell ref="L139:AX139"/>
    <mergeCell ref="AY140:AZ140"/>
    <mergeCell ref="BA140:BE140"/>
    <mergeCell ref="BF138:BM138"/>
    <mergeCell ref="BN138:BU138"/>
    <mergeCell ref="AY139:AZ139"/>
    <mergeCell ref="BA139:BE139"/>
    <mergeCell ref="BF139:BM139"/>
    <mergeCell ref="BN139:BU139"/>
    <mergeCell ref="AY138:AZ138"/>
    <mergeCell ref="BA138:BE138"/>
    <mergeCell ref="A140:B140"/>
    <mergeCell ref="C140:E140"/>
    <mergeCell ref="F140:K140"/>
    <mergeCell ref="L140:AX140"/>
    <mergeCell ref="BF140:BM140"/>
    <mergeCell ref="BN140:BU140"/>
    <mergeCell ref="A141:B141"/>
    <mergeCell ref="C141:E141"/>
    <mergeCell ref="F141:K141"/>
    <mergeCell ref="L141:AX141"/>
    <mergeCell ref="AY141:AZ141"/>
    <mergeCell ref="BA141:BE141"/>
    <mergeCell ref="BF141:BM141"/>
    <mergeCell ref="BN141:BU141"/>
    <mergeCell ref="A142:B142"/>
    <mergeCell ref="C142:E142"/>
    <mergeCell ref="F142:K142"/>
    <mergeCell ref="L142:AX142"/>
    <mergeCell ref="A143:B143"/>
    <mergeCell ref="C143:E143"/>
    <mergeCell ref="F143:K143"/>
    <mergeCell ref="L143:AX143"/>
    <mergeCell ref="AY144:AZ144"/>
    <mergeCell ref="BA144:BE144"/>
    <mergeCell ref="BF142:BM142"/>
    <mergeCell ref="BN142:BU142"/>
    <mergeCell ref="AY143:AZ143"/>
    <mergeCell ref="BA143:BE143"/>
    <mergeCell ref="BF143:BM143"/>
    <mergeCell ref="BN143:BU143"/>
    <mergeCell ref="AY142:AZ142"/>
    <mergeCell ref="BA142:BE142"/>
    <mergeCell ref="A144:B144"/>
    <mergeCell ref="C144:E144"/>
    <mergeCell ref="F144:K144"/>
    <mergeCell ref="L144:AX144"/>
    <mergeCell ref="BF144:BM144"/>
    <mergeCell ref="BN144:BU144"/>
    <mergeCell ref="A145:B145"/>
    <mergeCell ref="C145:E145"/>
    <mergeCell ref="F145:K145"/>
    <mergeCell ref="L145:AX145"/>
    <mergeCell ref="AY145:AZ145"/>
    <mergeCell ref="BA145:BE145"/>
    <mergeCell ref="BF145:BM145"/>
    <mergeCell ref="BN145:BU145"/>
    <mergeCell ref="A146:B146"/>
    <mergeCell ref="C146:E146"/>
    <mergeCell ref="F146:K146"/>
    <mergeCell ref="L146:AX146"/>
    <mergeCell ref="A147:B147"/>
    <mergeCell ref="C147:E147"/>
    <mergeCell ref="F147:K147"/>
    <mergeCell ref="L147:AX147"/>
    <mergeCell ref="AY148:AZ148"/>
    <mergeCell ref="BA148:BE148"/>
    <mergeCell ref="BF146:BM146"/>
    <mergeCell ref="BN146:BU146"/>
    <mergeCell ref="AY147:AZ147"/>
    <mergeCell ref="BA147:BE147"/>
    <mergeCell ref="BF147:BM147"/>
    <mergeCell ref="BN147:BU147"/>
    <mergeCell ref="AY146:AZ146"/>
    <mergeCell ref="BA146:BE146"/>
    <mergeCell ref="A148:B148"/>
    <mergeCell ref="C148:E148"/>
    <mergeCell ref="F148:K148"/>
    <mergeCell ref="L148:AX148"/>
    <mergeCell ref="BF148:BM148"/>
    <mergeCell ref="BN148:BU148"/>
    <mergeCell ref="A149:B149"/>
    <mergeCell ref="C149:E149"/>
    <mergeCell ref="F149:K149"/>
    <mergeCell ref="L149:AX149"/>
    <mergeCell ref="AY149:AZ149"/>
    <mergeCell ref="BA149:BE149"/>
    <mergeCell ref="BF149:BM149"/>
    <mergeCell ref="BN149:BU149"/>
    <mergeCell ref="A150:B150"/>
    <mergeCell ref="C150:E150"/>
    <mergeCell ref="F150:K150"/>
    <mergeCell ref="L150:AX150"/>
    <mergeCell ref="A151:B151"/>
    <mergeCell ref="C151:E151"/>
    <mergeCell ref="F151:K151"/>
    <mergeCell ref="L151:AX151"/>
    <mergeCell ref="AY152:AZ152"/>
    <mergeCell ref="BA152:BE152"/>
    <mergeCell ref="BF150:BM150"/>
    <mergeCell ref="BN150:BU150"/>
    <mergeCell ref="AY151:AZ151"/>
    <mergeCell ref="BA151:BE151"/>
    <mergeCell ref="BF151:BM151"/>
    <mergeCell ref="BN151:BU151"/>
    <mergeCell ref="AY150:AZ150"/>
    <mergeCell ref="BA150:BE150"/>
    <mergeCell ref="A152:B152"/>
    <mergeCell ref="C152:E152"/>
    <mergeCell ref="F152:K152"/>
    <mergeCell ref="L152:AX152"/>
    <mergeCell ref="BF152:BM152"/>
    <mergeCell ref="BN152:BU152"/>
    <mergeCell ref="A153:B153"/>
    <mergeCell ref="C153:E153"/>
    <mergeCell ref="F153:K153"/>
    <mergeCell ref="L153:AX153"/>
    <mergeCell ref="AY153:AZ153"/>
    <mergeCell ref="BA153:BE153"/>
    <mergeCell ref="BF153:BM153"/>
    <mergeCell ref="BN153:BU153"/>
    <mergeCell ref="A154:B154"/>
    <mergeCell ref="C154:E154"/>
    <mergeCell ref="F154:K154"/>
    <mergeCell ref="L154:AX154"/>
    <mergeCell ref="A155:B155"/>
    <mergeCell ref="C155:E155"/>
    <mergeCell ref="F155:K155"/>
    <mergeCell ref="L155:AX155"/>
    <mergeCell ref="AY156:AZ156"/>
    <mergeCell ref="BA156:BE156"/>
    <mergeCell ref="BF154:BM154"/>
    <mergeCell ref="BN154:BU154"/>
    <mergeCell ref="AY155:AZ155"/>
    <mergeCell ref="BA155:BE155"/>
    <mergeCell ref="BF155:BM155"/>
    <mergeCell ref="BN155:BU155"/>
    <mergeCell ref="AY154:AZ154"/>
    <mergeCell ref="BA154:BE154"/>
    <mergeCell ref="A156:B156"/>
    <mergeCell ref="C156:E156"/>
    <mergeCell ref="F156:K156"/>
    <mergeCell ref="L156:AX156"/>
    <mergeCell ref="BF156:BM156"/>
    <mergeCell ref="BN156:BU156"/>
    <mergeCell ref="A157:B157"/>
    <mergeCell ref="C157:E157"/>
    <mergeCell ref="F157:K157"/>
    <mergeCell ref="L157:AX157"/>
    <mergeCell ref="AY157:AZ157"/>
    <mergeCell ref="BA157:BE157"/>
    <mergeCell ref="BF157:BM157"/>
    <mergeCell ref="BN157:BU157"/>
    <mergeCell ref="A158:B158"/>
    <mergeCell ref="C158:E158"/>
    <mergeCell ref="F158:K158"/>
    <mergeCell ref="L158:AX158"/>
    <mergeCell ref="A159:B159"/>
    <mergeCell ref="C159:E159"/>
    <mergeCell ref="F159:K159"/>
    <mergeCell ref="L159:AX159"/>
    <mergeCell ref="AY160:AZ160"/>
    <mergeCell ref="BA160:BE160"/>
    <mergeCell ref="BF158:BM158"/>
    <mergeCell ref="BN158:BU158"/>
    <mergeCell ref="AY159:AZ159"/>
    <mergeCell ref="BA159:BE159"/>
    <mergeCell ref="BF159:BM159"/>
    <mergeCell ref="BN159:BU159"/>
    <mergeCell ref="AY158:AZ158"/>
    <mergeCell ref="BA158:BE158"/>
    <mergeCell ref="A160:B160"/>
    <mergeCell ref="C160:E160"/>
    <mergeCell ref="F160:K160"/>
    <mergeCell ref="L160:AX160"/>
    <mergeCell ref="BF160:BM160"/>
    <mergeCell ref="BN160:BU160"/>
    <mergeCell ref="A161:B161"/>
    <mergeCell ref="C161:E161"/>
    <mergeCell ref="F161:K161"/>
    <mergeCell ref="L161:AX161"/>
    <mergeCell ref="AY161:AZ161"/>
    <mergeCell ref="BA161:BE161"/>
    <mergeCell ref="BF161:BM161"/>
    <mergeCell ref="BN161:BU161"/>
    <mergeCell ref="A162:B162"/>
    <mergeCell ref="C162:E162"/>
    <mergeCell ref="F162:K162"/>
    <mergeCell ref="L162:AX162"/>
    <mergeCell ref="A163:B163"/>
    <mergeCell ref="C163:E163"/>
    <mergeCell ref="F163:K163"/>
    <mergeCell ref="L163:AX163"/>
    <mergeCell ref="AY164:AZ164"/>
    <mergeCell ref="BA164:BE164"/>
    <mergeCell ref="BF162:BM162"/>
    <mergeCell ref="BN162:BU162"/>
    <mergeCell ref="AY163:AZ163"/>
    <mergeCell ref="BA163:BE163"/>
    <mergeCell ref="BF163:BM163"/>
    <mergeCell ref="BN163:BU163"/>
    <mergeCell ref="AY162:AZ162"/>
    <mergeCell ref="BA162:BE162"/>
    <mergeCell ref="A164:B164"/>
    <mergeCell ref="C164:E164"/>
    <mergeCell ref="F164:K164"/>
    <mergeCell ref="L164:AX164"/>
    <mergeCell ref="BF164:BM164"/>
    <mergeCell ref="BN164:BU164"/>
    <mergeCell ref="A165:B165"/>
    <mergeCell ref="C165:E165"/>
    <mergeCell ref="F165:K165"/>
    <mergeCell ref="L165:AX165"/>
    <mergeCell ref="AY165:AZ165"/>
    <mergeCell ref="BA165:BE165"/>
    <mergeCell ref="BF165:BM165"/>
    <mergeCell ref="BN165:BU165"/>
    <mergeCell ref="A166:B166"/>
    <mergeCell ref="C166:E166"/>
    <mergeCell ref="F166:K166"/>
    <mergeCell ref="L166:AX166"/>
    <mergeCell ref="A167:B167"/>
    <mergeCell ref="C167:E167"/>
    <mergeCell ref="F167:K167"/>
    <mergeCell ref="L167:AX167"/>
    <mergeCell ref="AY168:AZ168"/>
    <mergeCell ref="BA168:BE168"/>
    <mergeCell ref="BF166:BM166"/>
    <mergeCell ref="BN166:BU166"/>
    <mergeCell ref="AY167:AZ167"/>
    <mergeCell ref="BA167:BE167"/>
    <mergeCell ref="BF167:BM167"/>
    <mergeCell ref="BN167:BU167"/>
    <mergeCell ref="AY166:AZ166"/>
    <mergeCell ref="BA166:BE166"/>
    <mergeCell ref="A168:B168"/>
    <mergeCell ref="C168:E168"/>
    <mergeCell ref="F168:K168"/>
    <mergeCell ref="L168:AX168"/>
    <mergeCell ref="BF168:BM168"/>
    <mergeCell ref="BN168:BU168"/>
    <mergeCell ref="A169:B169"/>
    <mergeCell ref="C169:E169"/>
    <mergeCell ref="F169:K169"/>
    <mergeCell ref="L169:AX169"/>
    <mergeCell ref="AY169:AZ169"/>
    <mergeCell ref="BA169:BE169"/>
    <mergeCell ref="BF169:BM169"/>
    <mergeCell ref="BN169:BU169"/>
    <mergeCell ref="A170:B170"/>
    <mergeCell ref="C170:E170"/>
    <mergeCell ref="F170:K170"/>
    <mergeCell ref="L170:AX170"/>
    <mergeCell ref="A171:B171"/>
    <mergeCell ref="C171:E171"/>
    <mergeCell ref="F171:K171"/>
    <mergeCell ref="L171:AX171"/>
    <mergeCell ref="AY172:AZ172"/>
    <mergeCell ref="BA172:BE172"/>
    <mergeCell ref="BF170:BM170"/>
    <mergeCell ref="BN170:BU170"/>
    <mergeCell ref="AY171:AZ171"/>
    <mergeCell ref="BA171:BE171"/>
    <mergeCell ref="BF171:BM171"/>
    <mergeCell ref="BN171:BU171"/>
    <mergeCell ref="AY170:AZ170"/>
    <mergeCell ref="BA170:BE170"/>
    <mergeCell ref="A172:B172"/>
    <mergeCell ref="C172:E172"/>
    <mergeCell ref="F172:K172"/>
    <mergeCell ref="L172:AX172"/>
    <mergeCell ref="BF172:BM172"/>
    <mergeCell ref="BN172:BU172"/>
    <mergeCell ref="A173:B173"/>
    <mergeCell ref="C173:E173"/>
    <mergeCell ref="F173:K173"/>
    <mergeCell ref="L173:AX173"/>
    <mergeCell ref="AY173:AZ173"/>
    <mergeCell ref="BA173:BE173"/>
    <mergeCell ref="BF173:BM173"/>
    <mergeCell ref="BN173:BU173"/>
    <mergeCell ref="A174:B174"/>
    <mergeCell ref="C174:E174"/>
    <mergeCell ref="F174:K174"/>
    <mergeCell ref="L174:AX174"/>
    <mergeCell ref="A175:B175"/>
    <mergeCell ref="C175:E175"/>
    <mergeCell ref="F175:K175"/>
    <mergeCell ref="L175:AX175"/>
    <mergeCell ref="AY176:AZ176"/>
    <mergeCell ref="BA176:BE176"/>
    <mergeCell ref="BF174:BM174"/>
    <mergeCell ref="BN174:BU174"/>
    <mergeCell ref="AY175:AZ175"/>
    <mergeCell ref="BA175:BE175"/>
    <mergeCell ref="BF175:BM175"/>
    <mergeCell ref="BN175:BU175"/>
    <mergeCell ref="AY174:AZ174"/>
    <mergeCell ref="BA174:BE174"/>
    <mergeCell ref="A176:B176"/>
    <mergeCell ref="C176:E176"/>
    <mergeCell ref="F176:K176"/>
    <mergeCell ref="L176:AX176"/>
    <mergeCell ref="BF176:BM176"/>
    <mergeCell ref="BN176:BU176"/>
    <mergeCell ref="A177:B177"/>
    <mergeCell ref="C177:E177"/>
    <mergeCell ref="F177:K177"/>
    <mergeCell ref="L177:AX177"/>
    <mergeCell ref="AY177:AZ177"/>
    <mergeCell ref="BA177:BE177"/>
    <mergeCell ref="BF177:BM177"/>
    <mergeCell ref="BN177:BU177"/>
    <mergeCell ref="A178:B178"/>
    <mergeCell ref="C178:E178"/>
    <mergeCell ref="F178:K178"/>
    <mergeCell ref="L178:AX178"/>
    <mergeCell ref="A179:B179"/>
    <mergeCell ref="C179:E179"/>
    <mergeCell ref="F179:K179"/>
    <mergeCell ref="L179:AX179"/>
    <mergeCell ref="AY180:AZ180"/>
    <mergeCell ref="BA180:BE180"/>
    <mergeCell ref="BF178:BM178"/>
    <mergeCell ref="BN178:BU178"/>
    <mergeCell ref="AY179:AZ179"/>
    <mergeCell ref="BA179:BE179"/>
    <mergeCell ref="BF179:BM179"/>
    <mergeCell ref="BN179:BU179"/>
    <mergeCell ref="AY178:AZ178"/>
    <mergeCell ref="BA178:BE178"/>
    <mergeCell ref="A180:B180"/>
    <mergeCell ref="C180:E180"/>
    <mergeCell ref="F180:K180"/>
    <mergeCell ref="L180:AX180"/>
    <mergeCell ref="BF180:BM180"/>
    <mergeCell ref="BN180:BU180"/>
    <mergeCell ref="A181:B181"/>
    <mergeCell ref="C181:E181"/>
    <mergeCell ref="F181:K181"/>
    <mergeCell ref="L181:AX181"/>
    <mergeCell ref="AY181:AZ181"/>
    <mergeCell ref="BA181:BE181"/>
    <mergeCell ref="BF181:BM181"/>
    <mergeCell ref="BN181:BU181"/>
    <mergeCell ref="A182:B182"/>
    <mergeCell ref="C182:E182"/>
    <mergeCell ref="F182:K182"/>
    <mergeCell ref="L182:AX182"/>
    <mergeCell ref="A183:B183"/>
    <mergeCell ref="C183:E183"/>
    <mergeCell ref="F183:K183"/>
    <mergeCell ref="L183:AX183"/>
    <mergeCell ref="AY184:AZ184"/>
    <mergeCell ref="BA184:BE184"/>
    <mergeCell ref="BF182:BM182"/>
    <mergeCell ref="BN182:BU182"/>
    <mergeCell ref="AY183:AZ183"/>
    <mergeCell ref="BA183:BE183"/>
    <mergeCell ref="BF183:BM183"/>
    <mergeCell ref="BN183:BU183"/>
    <mergeCell ref="AY182:AZ182"/>
    <mergeCell ref="BA182:BE182"/>
    <mergeCell ref="A184:B184"/>
    <mergeCell ref="C184:E184"/>
    <mergeCell ref="F184:K184"/>
    <mergeCell ref="L184:AX184"/>
    <mergeCell ref="BF184:BM184"/>
    <mergeCell ref="BN184:BU184"/>
    <mergeCell ref="A185:B185"/>
    <mergeCell ref="C185:E185"/>
    <mergeCell ref="F185:K185"/>
    <mergeCell ref="L185:AX185"/>
    <mergeCell ref="AY185:AZ185"/>
    <mergeCell ref="BA185:BE185"/>
    <mergeCell ref="BF185:BM185"/>
    <mergeCell ref="BN185:BU185"/>
    <mergeCell ref="A186:B186"/>
    <mergeCell ref="C186:E186"/>
    <mergeCell ref="F186:K186"/>
    <mergeCell ref="L186:AX186"/>
    <mergeCell ref="A187:B187"/>
    <mergeCell ref="C187:E187"/>
    <mergeCell ref="F187:K187"/>
    <mergeCell ref="L187:AX187"/>
    <mergeCell ref="AY188:AZ188"/>
    <mergeCell ref="BA188:BE188"/>
    <mergeCell ref="BF186:BM186"/>
    <mergeCell ref="BN186:BU186"/>
    <mergeCell ref="AY187:AZ187"/>
    <mergeCell ref="BA187:BE187"/>
    <mergeCell ref="BF187:BM187"/>
    <mergeCell ref="BN187:BU187"/>
    <mergeCell ref="AY186:AZ186"/>
    <mergeCell ref="BA186:BE186"/>
    <mergeCell ref="A188:B188"/>
    <mergeCell ref="C188:E188"/>
    <mergeCell ref="F188:K188"/>
    <mergeCell ref="L188:AX188"/>
    <mergeCell ref="BF188:BM188"/>
    <mergeCell ref="BN188:BU188"/>
    <mergeCell ref="A189:B189"/>
    <mergeCell ref="C189:E189"/>
    <mergeCell ref="F189:K189"/>
    <mergeCell ref="L189:AX189"/>
    <mergeCell ref="AY189:AZ189"/>
    <mergeCell ref="BA189:BE189"/>
    <mergeCell ref="BF189:BM189"/>
    <mergeCell ref="BN189:BU189"/>
    <mergeCell ref="A190:B190"/>
    <mergeCell ref="C190:E190"/>
    <mergeCell ref="F190:K190"/>
    <mergeCell ref="L190:AX190"/>
    <mergeCell ref="A191:B191"/>
    <mergeCell ref="C191:E191"/>
    <mergeCell ref="F191:K191"/>
    <mergeCell ref="L191:AX191"/>
    <mergeCell ref="AY192:AZ192"/>
    <mergeCell ref="BA192:BE192"/>
    <mergeCell ref="BF190:BM190"/>
    <mergeCell ref="BN190:BU190"/>
    <mergeCell ref="AY191:AZ191"/>
    <mergeCell ref="BA191:BE191"/>
    <mergeCell ref="BF191:BM191"/>
    <mergeCell ref="BN191:BU191"/>
    <mergeCell ref="AY190:AZ190"/>
    <mergeCell ref="BA190:BE190"/>
    <mergeCell ref="A192:B192"/>
    <mergeCell ref="C192:E192"/>
    <mergeCell ref="F192:K192"/>
    <mergeCell ref="L192:AX192"/>
    <mergeCell ref="BF192:BM192"/>
    <mergeCell ref="BN192:BU192"/>
    <mergeCell ref="A193:B193"/>
    <mergeCell ref="C193:E193"/>
    <mergeCell ref="F193:K193"/>
    <mergeCell ref="L193:AX193"/>
    <mergeCell ref="AY193:AZ193"/>
    <mergeCell ref="BA193:BE193"/>
    <mergeCell ref="BF193:BM193"/>
    <mergeCell ref="BN193:BU193"/>
    <mergeCell ref="A194:B194"/>
    <mergeCell ref="C194:E194"/>
    <mergeCell ref="F194:K194"/>
    <mergeCell ref="L194:AX194"/>
    <mergeCell ref="A195:B195"/>
    <mergeCell ref="C195:E195"/>
    <mergeCell ref="F195:K195"/>
    <mergeCell ref="L195:AX195"/>
    <mergeCell ref="AY196:AZ196"/>
    <mergeCell ref="BA196:BE196"/>
    <mergeCell ref="BF194:BM194"/>
    <mergeCell ref="BN194:BU194"/>
    <mergeCell ref="AY195:AZ195"/>
    <mergeCell ref="BA195:BE195"/>
    <mergeCell ref="BF195:BM195"/>
    <mergeCell ref="BN195:BU195"/>
    <mergeCell ref="AY194:AZ194"/>
    <mergeCell ref="BA194:BE194"/>
    <mergeCell ref="A196:B196"/>
    <mergeCell ref="C196:E196"/>
    <mergeCell ref="F196:K196"/>
    <mergeCell ref="L196:AX196"/>
    <mergeCell ref="BF196:BM196"/>
    <mergeCell ref="BN196:BU196"/>
    <mergeCell ref="A197:B197"/>
    <mergeCell ref="C197:E197"/>
    <mergeCell ref="F197:K197"/>
    <mergeCell ref="L197:AX197"/>
    <mergeCell ref="AY197:AZ197"/>
    <mergeCell ref="BA197:BE197"/>
    <mergeCell ref="BF197:BM197"/>
    <mergeCell ref="BN197:BU197"/>
    <mergeCell ref="A198:B198"/>
    <mergeCell ref="C198:E198"/>
    <mergeCell ref="F198:K198"/>
    <mergeCell ref="L198:AX198"/>
    <mergeCell ref="A199:B199"/>
    <mergeCell ref="C199:E199"/>
    <mergeCell ref="F199:K199"/>
    <mergeCell ref="L199:AX199"/>
    <mergeCell ref="AY200:AZ200"/>
    <mergeCell ref="BA200:BE200"/>
    <mergeCell ref="BF198:BM198"/>
    <mergeCell ref="BN198:BU198"/>
    <mergeCell ref="AY199:AZ199"/>
    <mergeCell ref="BA199:BE199"/>
    <mergeCell ref="BF199:BM199"/>
    <mergeCell ref="BN199:BU199"/>
    <mergeCell ref="AY198:AZ198"/>
    <mergeCell ref="BA198:BE198"/>
    <mergeCell ref="A200:B200"/>
    <mergeCell ref="C200:E200"/>
    <mergeCell ref="F200:K200"/>
    <mergeCell ref="L200:AX200"/>
    <mergeCell ref="BF200:BM200"/>
    <mergeCell ref="BN200:BU200"/>
    <mergeCell ref="A201:B201"/>
    <mergeCell ref="C201:E201"/>
    <mergeCell ref="F201:K201"/>
    <mergeCell ref="L201:AX201"/>
    <mergeCell ref="AY201:AZ201"/>
    <mergeCell ref="BA201:BE201"/>
    <mergeCell ref="BF201:BM201"/>
    <mergeCell ref="BN201:BU201"/>
    <mergeCell ref="A202:B202"/>
    <mergeCell ref="C202:E202"/>
    <mergeCell ref="F202:K202"/>
    <mergeCell ref="L202:AX202"/>
    <mergeCell ref="A203:B203"/>
    <mergeCell ref="C203:E203"/>
    <mergeCell ref="F203:K203"/>
    <mergeCell ref="L203:AX203"/>
    <mergeCell ref="AY204:AZ204"/>
    <mergeCell ref="BA204:BE204"/>
    <mergeCell ref="BF202:BM202"/>
    <mergeCell ref="BN202:BU202"/>
    <mergeCell ref="AY203:AZ203"/>
    <mergeCell ref="BA203:BE203"/>
    <mergeCell ref="BF203:BM203"/>
    <mergeCell ref="BN203:BU203"/>
    <mergeCell ref="AY202:AZ202"/>
    <mergeCell ref="BA202:BE202"/>
    <mergeCell ref="A204:B204"/>
    <mergeCell ref="C204:E204"/>
    <mergeCell ref="F204:K204"/>
    <mergeCell ref="L204:AX204"/>
    <mergeCell ref="BF204:BM204"/>
    <mergeCell ref="BN204:BU204"/>
    <mergeCell ref="A205:B205"/>
    <mergeCell ref="C205:E205"/>
    <mergeCell ref="F205:K205"/>
    <mergeCell ref="L205:AX205"/>
    <mergeCell ref="AY205:AZ205"/>
    <mergeCell ref="BA205:BE205"/>
    <mergeCell ref="BF205:BM205"/>
    <mergeCell ref="BN205:BU205"/>
    <mergeCell ref="A206:B206"/>
    <mergeCell ref="C206:E206"/>
    <mergeCell ref="F206:K206"/>
    <mergeCell ref="L206:AX206"/>
    <mergeCell ref="A207:B207"/>
    <mergeCell ref="C207:E207"/>
    <mergeCell ref="F207:K207"/>
    <mergeCell ref="L207:AX207"/>
    <mergeCell ref="AY208:AZ208"/>
    <mergeCell ref="BA208:BE208"/>
    <mergeCell ref="BF206:BM206"/>
    <mergeCell ref="BN206:BU206"/>
    <mergeCell ref="AY207:AZ207"/>
    <mergeCell ref="BA207:BE207"/>
    <mergeCell ref="BF207:BM207"/>
    <mergeCell ref="BN207:BU207"/>
    <mergeCell ref="AY206:AZ206"/>
    <mergeCell ref="BA206:BE206"/>
    <mergeCell ref="A208:B208"/>
    <mergeCell ref="C208:E208"/>
    <mergeCell ref="F208:K208"/>
    <mergeCell ref="L208:AX208"/>
    <mergeCell ref="BF208:BM208"/>
    <mergeCell ref="BN208:BU208"/>
    <mergeCell ref="A209:B209"/>
    <mergeCell ref="C209:E209"/>
    <mergeCell ref="F209:K209"/>
    <mergeCell ref="L209:AX209"/>
    <mergeCell ref="AY209:AZ209"/>
    <mergeCell ref="BA209:BE209"/>
    <mergeCell ref="BF209:BM209"/>
    <mergeCell ref="BN209:BU209"/>
    <mergeCell ref="A210:B210"/>
    <mergeCell ref="C210:E210"/>
    <mergeCell ref="F210:K210"/>
    <mergeCell ref="L210:AX210"/>
    <mergeCell ref="A211:B211"/>
    <mergeCell ref="C211:E211"/>
    <mergeCell ref="F211:K211"/>
    <mergeCell ref="L211:AX211"/>
    <mergeCell ref="AY212:AZ212"/>
    <mergeCell ref="BA212:BE212"/>
    <mergeCell ref="BF210:BM210"/>
    <mergeCell ref="BN210:BU210"/>
    <mergeCell ref="AY211:AZ211"/>
    <mergeCell ref="BA211:BE211"/>
    <mergeCell ref="BF211:BM211"/>
    <mergeCell ref="BN211:BU211"/>
    <mergeCell ref="AY210:AZ210"/>
    <mergeCell ref="BA210:BE210"/>
    <mergeCell ref="A212:B212"/>
    <mergeCell ref="C212:E212"/>
    <mergeCell ref="F212:K212"/>
    <mergeCell ref="L212:AX212"/>
    <mergeCell ref="BF212:BM212"/>
    <mergeCell ref="BN212:BU212"/>
    <mergeCell ref="A213:B213"/>
    <mergeCell ref="C213:E213"/>
    <mergeCell ref="F213:K213"/>
    <mergeCell ref="L213:AX213"/>
    <mergeCell ref="AY213:AZ213"/>
    <mergeCell ref="BA213:BE213"/>
    <mergeCell ref="BF213:BM213"/>
    <mergeCell ref="BN213:BU213"/>
    <mergeCell ref="A214:B214"/>
    <mergeCell ref="C214:E214"/>
    <mergeCell ref="F214:K214"/>
    <mergeCell ref="L214:AX214"/>
    <mergeCell ref="A215:B215"/>
    <mergeCell ref="C215:E215"/>
    <mergeCell ref="F215:K215"/>
    <mergeCell ref="L215:AX215"/>
    <mergeCell ref="AY216:AZ216"/>
    <mergeCell ref="BA216:BE216"/>
    <mergeCell ref="BF214:BM214"/>
    <mergeCell ref="BN214:BU214"/>
    <mergeCell ref="AY215:AZ215"/>
    <mergeCell ref="BA215:BE215"/>
    <mergeCell ref="BF215:BM215"/>
    <mergeCell ref="BN215:BU215"/>
    <mergeCell ref="AY214:AZ214"/>
    <mergeCell ref="BA214:BE214"/>
    <mergeCell ref="A216:B216"/>
    <mergeCell ref="C216:E216"/>
    <mergeCell ref="F216:K216"/>
    <mergeCell ref="L216:AX216"/>
    <mergeCell ref="BF216:BM216"/>
    <mergeCell ref="BN216:BU216"/>
    <mergeCell ref="A217:B217"/>
    <mergeCell ref="C217:E217"/>
    <mergeCell ref="F217:K217"/>
    <mergeCell ref="L217:AX217"/>
    <mergeCell ref="AY217:AZ217"/>
    <mergeCell ref="BA217:BE217"/>
    <mergeCell ref="BF217:BM217"/>
    <mergeCell ref="BN217:BU217"/>
    <mergeCell ref="A218:B218"/>
    <mergeCell ref="C218:E218"/>
    <mergeCell ref="F218:K218"/>
    <mergeCell ref="L218:AX218"/>
    <mergeCell ref="A219:B219"/>
    <mergeCell ref="C219:E219"/>
    <mergeCell ref="F219:K219"/>
    <mergeCell ref="L219:AX219"/>
    <mergeCell ref="AY220:AZ220"/>
    <mergeCell ref="BA220:BE220"/>
    <mergeCell ref="BF218:BM218"/>
    <mergeCell ref="BN218:BU218"/>
    <mergeCell ref="AY219:AZ219"/>
    <mergeCell ref="BA219:BE219"/>
    <mergeCell ref="BF219:BM219"/>
    <mergeCell ref="BN219:BU219"/>
    <mergeCell ref="AY218:AZ218"/>
    <mergeCell ref="BA218:BE218"/>
    <mergeCell ref="A220:B220"/>
    <mergeCell ref="C220:E220"/>
    <mergeCell ref="F220:K220"/>
    <mergeCell ref="L220:AX220"/>
    <mergeCell ref="AY221:AZ221"/>
    <mergeCell ref="BA221:BE221"/>
    <mergeCell ref="BF221:BM221"/>
    <mergeCell ref="BN221:BU221"/>
    <mergeCell ref="A221:B221"/>
    <mergeCell ref="C221:E221"/>
    <mergeCell ref="F221:K221"/>
    <mergeCell ref="L221:AX221"/>
    <mergeCell ref="BF223:BM223"/>
    <mergeCell ref="BN223:BU223"/>
    <mergeCell ref="BF220:BM220"/>
    <mergeCell ref="BN220:BU220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J31" sqref="J3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11" width="14.28125" style="0" customWidth="1"/>
    <col min="12" max="12" width="11.7109375" style="0" customWidth="1"/>
    <col min="13" max="14" width="12.140625" style="0" hidden="1" customWidth="1"/>
  </cols>
  <sheetData>
    <row r="1" spans="1:12" ht="72.75" customHeight="1">
      <c r="A1" s="143" t="s">
        <v>565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3" ht="12.75">
      <c r="A2" s="145" t="s">
        <v>1</v>
      </c>
      <c r="B2" s="146"/>
      <c r="C2" s="146"/>
      <c r="D2" s="147" t="str">
        <f>'Stavební rozpočet'!D2</f>
        <v>Autoservis - opravna zemědělských strojů, Hostín u Vojkovic</v>
      </c>
      <c r="E2" s="150" t="s">
        <v>543</v>
      </c>
      <c r="F2" s="146"/>
      <c r="G2" s="150" t="str">
        <f>'Stavební rozpočet'!G2</f>
        <v> </v>
      </c>
      <c r="H2" s="146"/>
      <c r="I2" s="150" t="s">
        <v>547</v>
      </c>
      <c r="J2" s="150" t="str">
        <f>'Stavební rozpočet'!J2</f>
        <v>Český chřest, s.r.o., Hlavní 545, 253 01 Chýně</v>
      </c>
      <c r="K2" s="146"/>
      <c r="L2" s="151"/>
      <c r="M2" s="8"/>
    </row>
    <row r="3" spans="1:13" ht="12.75">
      <c r="A3" s="139"/>
      <c r="B3" s="132"/>
      <c r="C3" s="132"/>
      <c r="D3" s="97"/>
      <c r="E3" s="132"/>
      <c r="F3" s="132"/>
      <c r="G3" s="132"/>
      <c r="H3" s="132"/>
      <c r="I3" s="132"/>
      <c r="J3" s="132"/>
      <c r="K3" s="132"/>
      <c r="L3" s="137"/>
      <c r="M3" s="8"/>
    </row>
    <row r="4" spans="1:13" ht="12.75">
      <c r="A4" s="131" t="s">
        <v>2</v>
      </c>
      <c r="B4" s="132"/>
      <c r="C4" s="132"/>
      <c r="D4" s="135" t="str">
        <f>'Stavební rozpočet'!D4</f>
        <v>změna stavby před dokončením</v>
      </c>
      <c r="E4" s="135" t="s">
        <v>544</v>
      </c>
      <c r="F4" s="132"/>
      <c r="G4" s="135" t="str">
        <f>'Stavební rozpočet'!G4</f>
        <v> </v>
      </c>
      <c r="H4" s="132"/>
      <c r="I4" s="135" t="s">
        <v>548</v>
      </c>
      <c r="J4" s="135" t="str">
        <f>'Stavební rozpočet'!J4</f>
        <v> </v>
      </c>
      <c r="K4" s="132"/>
      <c r="L4" s="137"/>
      <c r="M4" s="8"/>
    </row>
    <row r="5" spans="1:13" ht="12.75">
      <c r="A5" s="139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7"/>
      <c r="M5" s="8"/>
    </row>
    <row r="6" spans="1:13" ht="12.75" customHeight="1">
      <c r="A6" s="131" t="s">
        <v>3</v>
      </c>
      <c r="B6" s="132"/>
      <c r="C6" s="132"/>
      <c r="D6" s="135" t="str">
        <f>'Stavební rozpočet'!D6</f>
        <v>k.ú. Hostín u Vojkovic, č.parc.st.177/1</v>
      </c>
      <c r="E6" s="135" t="s">
        <v>545</v>
      </c>
      <c r="F6" s="132"/>
      <c r="G6" s="135" t="str">
        <f>'Stavební rozpočet'!G6</f>
        <v> </v>
      </c>
      <c r="H6" s="132"/>
      <c r="I6" s="135" t="s">
        <v>549</v>
      </c>
      <c r="J6" s="135"/>
      <c r="K6" s="132"/>
      <c r="L6" s="137"/>
      <c r="M6" s="8"/>
    </row>
    <row r="7" spans="1:13" ht="12.75">
      <c r="A7" s="139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7"/>
      <c r="M7" s="8"/>
    </row>
    <row r="8" spans="1:13" ht="12.75">
      <c r="A8" s="131" t="s">
        <v>4</v>
      </c>
      <c r="B8" s="132"/>
      <c r="C8" s="132"/>
      <c r="D8" s="135" t="str">
        <f>'Stavební rozpočet'!D8</f>
        <v> </v>
      </c>
      <c r="E8" s="135" t="s">
        <v>546</v>
      </c>
      <c r="F8" s="132"/>
      <c r="G8" s="135" t="str">
        <f>'Stavební rozpočet'!G8</f>
        <v>30.06.2018</v>
      </c>
      <c r="H8" s="132"/>
      <c r="I8" s="135" t="s">
        <v>550</v>
      </c>
      <c r="J8" s="135" t="str">
        <f>'Stavební rozpočet'!J8</f>
        <v>PMM projekt s.r.o.,</v>
      </c>
      <c r="K8" s="132"/>
      <c r="L8" s="137"/>
      <c r="M8" s="8"/>
    </row>
    <row r="9" spans="1:13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M9" s="8"/>
    </row>
    <row r="10" spans="1:13" ht="12.75">
      <c r="A10" s="12" t="s">
        <v>6</v>
      </c>
      <c r="B10" s="154" t="s">
        <v>6</v>
      </c>
      <c r="C10" s="155"/>
      <c r="D10" s="155"/>
      <c r="E10" s="155"/>
      <c r="F10" s="155"/>
      <c r="G10" s="155"/>
      <c r="H10" s="156"/>
      <c r="I10" s="157" t="s">
        <v>567</v>
      </c>
      <c r="J10" s="158"/>
      <c r="K10" s="159"/>
      <c r="L10" s="20" t="s">
        <v>571</v>
      </c>
      <c r="M10" s="22"/>
    </row>
    <row r="11" spans="1:13" ht="12.75">
      <c r="A11" s="13" t="s">
        <v>171</v>
      </c>
      <c r="B11" s="160" t="s">
        <v>348</v>
      </c>
      <c r="C11" s="161"/>
      <c r="D11" s="161"/>
      <c r="E11" s="161"/>
      <c r="F11" s="161"/>
      <c r="G11" s="161"/>
      <c r="H11" s="162"/>
      <c r="I11" s="18" t="s">
        <v>568</v>
      </c>
      <c r="J11" s="19" t="s">
        <v>569</v>
      </c>
      <c r="K11" s="19" t="s">
        <v>570</v>
      </c>
      <c r="L11" s="21" t="s">
        <v>570</v>
      </c>
      <c r="M11" s="22"/>
    </row>
    <row r="12" spans="1:14" ht="12.75">
      <c r="A12" s="14" t="s">
        <v>172</v>
      </c>
      <c r="B12" s="163" t="s">
        <v>349</v>
      </c>
      <c r="C12" s="155"/>
      <c r="D12" s="155"/>
      <c r="E12" s="155"/>
      <c r="F12" s="155"/>
      <c r="G12" s="155"/>
      <c r="H12" s="155"/>
      <c r="I12" s="24">
        <f>'Stavební rozpočet'!H12</f>
        <v>0</v>
      </c>
      <c r="J12" s="24">
        <f>'Stavební rozpočet'!I12</f>
        <v>0</v>
      </c>
      <c r="K12" s="24">
        <f>I12+J12</f>
        <v>0</v>
      </c>
      <c r="L12" s="24">
        <f>'Stavební rozpočet'!L12</f>
        <v>1250.9661575</v>
      </c>
      <c r="M12" s="23" t="s">
        <v>572</v>
      </c>
      <c r="N12" s="23">
        <f>IF(M12="F",0,K12)</f>
        <v>0</v>
      </c>
    </row>
    <row r="13" spans="1:14" ht="12.75">
      <c r="A13" s="3" t="s">
        <v>173</v>
      </c>
      <c r="B13" s="136" t="s">
        <v>460</v>
      </c>
      <c r="C13" s="132"/>
      <c r="D13" s="132"/>
      <c r="E13" s="132"/>
      <c r="F13" s="132"/>
      <c r="G13" s="132"/>
      <c r="H13" s="132"/>
      <c r="I13" s="23">
        <f>'Stavební rozpočet'!H123</f>
        <v>0</v>
      </c>
      <c r="J13" s="23">
        <f>'Stavební rozpočet'!I123</f>
        <v>0</v>
      </c>
      <c r="K13" s="23">
        <f>I13+J13</f>
        <v>0</v>
      </c>
      <c r="L13" s="23">
        <f>'Stavební rozpočet'!L123</f>
        <v>0.278539</v>
      </c>
      <c r="M13" s="23" t="s">
        <v>572</v>
      </c>
      <c r="N13" s="23">
        <f>IF(M13="F",0,K13)</f>
        <v>0</v>
      </c>
    </row>
    <row r="14" spans="1:14" ht="12.75">
      <c r="A14" s="3" t="s">
        <v>174</v>
      </c>
      <c r="B14" s="136" t="s">
        <v>496</v>
      </c>
      <c r="C14" s="132"/>
      <c r="D14" s="132"/>
      <c r="E14" s="132"/>
      <c r="F14" s="132"/>
      <c r="G14" s="132"/>
      <c r="H14" s="132"/>
      <c r="I14" s="23">
        <f>'Stavební rozpočet'!H159</f>
        <v>0</v>
      </c>
      <c r="J14" s="23">
        <f>'Stavební rozpočet'!I159</f>
        <v>0</v>
      </c>
      <c r="K14" s="23">
        <f>I14+J14</f>
        <v>0</v>
      </c>
      <c r="L14" s="23">
        <f>'Stavební rozpočet'!L159</f>
        <v>0</v>
      </c>
      <c r="M14" s="23" t="s">
        <v>572</v>
      </c>
      <c r="N14" s="23">
        <f>IF(M14="F",0,K14)</f>
        <v>0</v>
      </c>
    </row>
    <row r="15" spans="1:14" ht="12.75">
      <c r="A15" s="3" t="s">
        <v>175</v>
      </c>
      <c r="B15" s="136" t="s">
        <v>501</v>
      </c>
      <c r="C15" s="132"/>
      <c r="D15" s="132"/>
      <c r="E15" s="132"/>
      <c r="F15" s="132"/>
      <c r="G15" s="132"/>
      <c r="H15" s="132"/>
      <c r="I15" s="23">
        <f>'Stavební rozpočet'!H164</f>
        <v>0</v>
      </c>
      <c r="J15" s="23">
        <f>'Stavební rozpočet'!I164</f>
        <v>0</v>
      </c>
      <c r="K15" s="23">
        <f>I15+J15</f>
        <v>0</v>
      </c>
      <c r="L15" s="23">
        <f>'Stavební rozpočet'!L164</f>
        <v>0.34750000000000003</v>
      </c>
      <c r="M15" s="23" t="s">
        <v>572</v>
      </c>
      <c r="N15" s="23">
        <f>IF(M15="F",0,K15)</f>
        <v>0</v>
      </c>
    </row>
    <row r="16" spans="1:14" ht="12.75">
      <c r="A16" s="15" t="s">
        <v>176</v>
      </c>
      <c r="B16" s="152" t="s">
        <v>525</v>
      </c>
      <c r="C16" s="134"/>
      <c r="D16" s="134"/>
      <c r="E16" s="134"/>
      <c r="F16" s="134"/>
      <c r="G16" s="134"/>
      <c r="H16" s="134"/>
      <c r="I16" s="25">
        <f>'Stavební rozpočet'!H190</f>
        <v>0</v>
      </c>
      <c r="J16" s="25">
        <f>'Stavební rozpočet'!I190</f>
        <v>0</v>
      </c>
      <c r="K16" s="25">
        <f>I16+J16</f>
        <v>0</v>
      </c>
      <c r="L16" s="25">
        <f>'Stavební rozpočet'!L190</f>
        <v>17.3035545</v>
      </c>
      <c r="M16" s="23" t="s">
        <v>572</v>
      </c>
      <c r="N16" s="23">
        <f>IF(M16="F",0,K16)</f>
        <v>0</v>
      </c>
    </row>
    <row r="17" spans="1:12" ht="12.75">
      <c r="A17" s="16"/>
      <c r="B17" s="16"/>
      <c r="C17" s="16"/>
      <c r="D17" s="16"/>
      <c r="E17" s="16"/>
      <c r="F17" s="16"/>
      <c r="G17" s="16"/>
      <c r="H17" s="16"/>
      <c r="I17" s="153" t="s">
        <v>563</v>
      </c>
      <c r="J17" s="148"/>
      <c r="K17" s="26">
        <f>ROUND(SUM(K12:K16),0)</f>
        <v>0</v>
      </c>
      <c r="L17" s="16"/>
    </row>
    <row r="18" ht="11.25" customHeight="1">
      <c r="A18" s="17" t="s">
        <v>566</v>
      </c>
    </row>
    <row r="19" spans="1:11" ht="12.75">
      <c r="A19" s="135"/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</sheetData>
  <sheetProtection sheet="1" objects="1" scenarios="1"/>
  <mergeCells count="35">
    <mergeCell ref="I4:I5"/>
    <mergeCell ref="J4:L5"/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8:I9"/>
    <mergeCell ref="J8:L9"/>
    <mergeCell ref="A6:C7"/>
    <mergeCell ref="D6:D7"/>
    <mergeCell ref="E6:F7"/>
    <mergeCell ref="G6:H7"/>
    <mergeCell ref="I6:I7"/>
    <mergeCell ref="J6:L7"/>
    <mergeCell ref="B13:H13"/>
    <mergeCell ref="B14:H14"/>
    <mergeCell ref="A8:C9"/>
    <mergeCell ref="D8:D9"/>
    <mergeCell ref="E8:F9"/>
    <mergeCell ref="G8:H9"/>
    <mergeCell ref="B10:H10"/>
    <mergeCell ref="I10:K10"/>
    <mergeCell ref="B11:H11"/>
    <mergeCell ref="B12:H12"/>
    <mergeCell ref="B15:H15"/>
    <mergeCell ref="B16:H16"/>
    <mergeCell ref="I17:J17"/>
    <mergeCell ref="A19:K1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zoomScalePageLayoutView="0" workbookViewId="0" topLeftCell="A1">
      <selection activeCell="I6" sqref="I6:I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2.25" customHeight="1">
      <c r="A1" s="79"/>
      <c r="B1" s="27"/>
      <c r="C1" s="192" t="s">
        <v>587</v>
      </c>
      <c r="D1" s="144"/>
      <c r="E1" s="144"/>
      <c r="F1" s="144"/>
      <c r="G1" s="144"/>
      <c r="H1" s="144"/>
      <c r="I1" s="144"/>
    </row>
    <row r="2" spans="1:10" ht="12.75">
      <c r="A2" s="145" t="s">
        <v>1</v>
      </c>
      <c r="B2" s="146"/>
      <c r="C2" s="147" t="str">
        <f>'Stavební rozpočet'!D2</f>
        <v>Autoservis - opravna zemědělských strojů, Hostín u Vojkovic</v>
      </c>
      <c r="D2" s="148"/>
      <c r="E2" s="150" t="s">
        <v>547</v>
      </c>
      <c r="F2" s="150" t="str">
        <f>'Stavební rozpočet'!J2</f>
        <v>Český chřest, s.r.o., Hlavní 545, 253 01 Chýně</v>
      </c>
      <c r="G2" s="146"/>
      <c r="H2" s="150" t="s">
        <v>612</v>
      </c>
      <c r="I2" s="193" t="s">
        <v>616</v>
      </c>
      <c r="J2" s="8"/>
    </row>
    <row r="3" spans="1:10" ht="25.5" customHeight="1">
      <c r="A3" s="139"/>
      <c r="B3" s="132"/>
      <c r="C3" s="97"/>
      <c r="D3" s="97"/>
      <c r="E3" s="132"/>
      <c r="F3" s="132"/>
      <c r="G3" s="132"/>
      <c r="H3" s="132"/>
      <c r="I3" s="137"/>
      <c r="J3" s="8"/>
    </row>
    <row r="4" spans="1:10" ht="12.75">
      <c r="A4" s="131" t="s">
        <v>2</v>
      </c>
      <c r="B4" s="132"/>
      <c r="C4" s="135" t="str">
        <f>'Stavební rozpočet'!D4</f>
        <v>změna stavby před dokončením</v>
      </c>
      <c r="D4" s="132"/>
      <c r="E4" s="135" t="s">
        <v>548</v>
      </c>
      <c r="F4" s="135" t="str">
        <f>'Stavební rozpočet'!J4</f>
        <v> </v>
      </c>
      <c r="G4" s="132"/>
      <c r="H4" s="135" t="s">
        <v>612</v>
      </c>
      <c r="I4" s="187"/>
      <c r="J4" s="8"/>
    </row>
    <row r="5" spans="1:10" ht="12.75">
      <c r="A5" s="139"/>
      <c r="B5" s="132"/>
      <c r="C5" s="132"/>
      <c r="D5" s="132"/>
      <c r="E5" s="132"/>
      <c r="F5" s="132"/>
      <c r="G5" s="132"/>
      <c r="H5" s="132"/>
      <c r="I5" s="137"/>
      <c r="J5" s="8"/>
    </row>
    <row r="6" spans="1:10" ht="12.75">
      <c r="A6" s="131" t="s">
        <v>3</v>
      </c>
      <c r="B6" s="132"/>
      <c r="C6" s="135" t="str">
        <f>'Stavební rozpočet'!D6</f>
        <v>k.ú. Hostín u Vojkovic, č.parc.st.177/1</v>
      </c>
      <c r="D6" s="132"/>
      <c r="E6" s="135" t="s">
        <v>549</v>
      </c>
      <c r="F6" s="188"/>
      <c r="G6" s="189"/>
      <c r="H6" s="135" t="s">
        <v>612</v>
      </c>
      <c r="I6" s="190"/>
      <c r="J6" s="8"/>
    </row>
    <row r="7" spans="1:10" ht="12.75">
      <c r="A7" s="139"/>
      <c r="B7" s="132"/>
      <c r="C7" s="132"/>
      <c r="D7" s="132"/>
      <c r="E7" s="132"/>
      <c r="F7" s="189"/>
      <c r="G7" s="189"/>
      <c r="H7" s="132"/>
      <c r="I7" s="191"/>
      <c r="J7" s="8"/>
    </row>
    <row r="8" spans="1:10" ht="12.75">
      <c r="A8" s="131" t="s">
        <v>544</v>
      </c>
      <c r="B8" s="132"/>
      <c r="C8" s="135" t="str">
        <f>'Stavební rozpočet'!G4</f>
        <v> </v>
      </c>
      <c r="D8" s="132"/>
      <c r="E8" s="135" t="s">
        <v>545</v>
      </c>
      <c r="F8" s="135" t="str">
        <f>'Stavební rozpočet'!G6</f>
        <v> </v>
      </c>
      <c r="G8" s="132"/>
      <c r="H8" s="136" t="s">
        <v>613</v>
      </c>
      <c r="I8" s="187" t="s">
        <v>170</v>
      </c>
      <c r="J8" s="8"/>
    </row>
    <row r="9" spans="1:10" ht="12.75">
      <c r="A9" s="139"/>
      <c r="B9" s="132"/>
      <c r="C9" s="132"/>
      <c r="D9" s="132"/>
      <c r="E9" s="132"/>
      <c r="F9" s="132"/>
      <c r="G9" s="132"/>
      <c r="H9" s="132"/>
      <c r="I9" s="137"/>
      <c r="J9" s="8"/>
    </row>
    <row r="10" spans="1:10" ht="12.75">
      <c r="A10" s="131" t="s">
        <v>4</v>
      </c>
      <c r="B10" s="132"/>
      <c r="C10" s="135" t="str">
        <f>'Stavební rozpočet'!D8</f>
        <v> </v>
      </c>
      <c r="D10" s="132"/>
      <c r="E10" s="135" t="s">
        <v>550</v>
      </c>
      <c r="F10" s="135" t="str">
        <f>'Stavební rozpočet'!J8</f>
        <v>PMM projekt s.r.o.,</v>
      </c>
      <c r="G10" s="132"/>
      <c r="H10" s="136" t="s">
        <v>614</v>
      </c>
      <c r="I10" s="186" t="str">
        <f>'Stavební rozpočet'!G8</f>
        <v>30.06.2018</v>
      </c>
      <c r="J10" s="8"/>
    </row>
    <row r="11" spans="1:10" ht="12.75">
      <c r="A11" s="133"/>
      <c r="B11" s="134"/>
      <c r="C11" s="134"/>
      <c r="D11" s="134"/>
      <c r="E11" s="134"/>
      <c r="F11" s="134"/>
      <c r="G11" s="134"/>
      <c r="H11" s="134"/>
      <c r="I11" s="138"/>
      <c r="J11" s="8"/>
    </row>
    <row r="12" spans="1:9" ht="23.25" customHeight="1">
      <c r="A12" s="182" t="s">
        <v>573</v>
      </c>
      <c r="B12" s="183"/>
      <c r="C12" s="183"/>
      <c r="D12" s="183"/>
      <c r="E12" s="183"/>
      <c r="F12" s="183"/>
      <c r="G12" s="183"/>
      <c r="H12" s="183"/>
      <c r="I12" s="183"/>
    </row>
    <row r="13" spans="1:10" ht="26.25" customHeight="1">
      <c r="A13" s="28" t="s">
        <v>574</v>
      </c>
      <c r="B13" s="184" t="s">
        <v>585</v>
      </c>
      <c r="C13" s="185"/>
      <c r="D13" s="28" t="s">
        <v>588</v>
      </c>
      <c r="E13" s="184" t="s">
        <v>597</v>
      </c>
      <c r="F13" s="185"/>
      <c r="G13" s="28" t="s">
        <v>598</v>
      </c>
      <c r="H13" s="184" t="s">
        <v>615</v>
      </c>
      <c r="I13" s="185"/>
      <c r="J13" s="8"/>
    </row>
    <row r="14" spans="1:10" ht="15" customHeight="1">
      <c r="A14" s="29" t="s">
        <v>575</v>
      </c>
      <c r="B14" s="32" t="s">
        <v>586</v>
      </c>
      <c r="C14" s="36">
        <f>SUM('Stavební rozpočet'!R12:R222)</f>
        <v>0</v>
      </c>
      <c r="D14" s="180" t="s">
        <v>589</v>
      </c>
      <c r="E14" s="181"/>
      <c r="F14" s="36">
        <f>VORN!I15</f>
        <v>0</v>
      </c>
      <c r="G14" s="180" t="s">
        <v>599</v>
      </c>
      <c r="H14" s="181"/>
      <c r="I14" s="36">
        <f>VORN!I21</f>
        <v>0</v>
      </c>
      <c r="J14" s="8"/>
    </row>
    <row r="15" spans="1:10" ht="15" customHeight="1">
      <c r="A15" s="30"/>
      <c r="B15" s="32" t="s">
        <v>569</v>
      </c>
      <c r="C15" s="36">
        <f>SUM('Stavební rozpočet'!S12:S222)</f>
        <v>0</v>
      </c>
      <c r="D15" s="180" t="s">
        <v>590</v>
      </c>
      <c r="E15" s="181"/>
      <c r="F15" s="36">
        <f>VORN!I16</f>
        <v>0</v>
      </c>
      <c r="G15" s="180" t="s">
        <v>600</v>
      </c>
      <c r="H15" s="181"/>
      <c r="I15" s="36">
        <f>VORN!I22</f>
        <v>0</v>
      </c>
      <c r="J15" s="8"/>
    </row>
    <row r="16" spans="1:10" ht="15" customHeight="1">
      <c r="A16" s="29" t="s">
        <v>576</v>
      </c>
      <c r="B16" s="32" t="s">
        <v>586</v>
      </c>
      <c r="C16" s="36">
        <f>SUM('Stavební rozpočet'!T12:T222)</f>
        <v>0</v>
      </c>
      <c r="D16" s="180" t="s">
        <v>591</v>
      </c>
      <c r="E16" s="181"/>
      <c r="F16" s="36">
        <f>VORN!I17</f>
        <v>0</v>
      </c>
      <c r="G16" s="180" t="s">
        <v>601</v>
      </c>
      <c r="H16" s="181"/>
      <c r="I16" s="36">
        <f>VORN!I23</f>
        <v>0</v>
      </c>
      <c r="J16" s="8"/>
    </row>
    <row r="17" spans="1:10" ht="15" customHeight="1">
      <c r="A17" s="30"/>
      <c r="B17" s="32" t="s">
        <v>569</v>
      </c>
      <c r="C17" s="36">
        <f>SUM('Stavební rozpočet'!U12:U222)</f>
        <v>0</v>
      </c>
      <c r="D17" s="180"/>
      <c r="E17" s="181"/>
      <c r="F17" s="37"/>
      <c r="G17" s="180" t="s">
        <v>602</v>
      </c>
      <c r="H17" s="181"/>
      <c r="I17" s="36">
        <f>VORN!I24</f>
        <v>0</v>
      </c>
      <c r="J17" s="8"/>
    </row>
    <row r="18" spans="1:10" ht="15" customHeight="1">
      <c r="A18" s="29" t="s">
        <v>577</v>
      </c>
      <c r="B18" s="32" t="s">
        <v>586</v>
      </c>
      <c r="C18" s="36">
        <f>SUM('Stavební rozpočet'!V12:V222)</f>
        <v>0</v>
      </c>
      <c r="D18" s="180"/>
      <c r="E18" s="181"/>
      <c r="F18" s="37"/>
      <c r="G18" s="180" t="s">
        <v>603</v>
      </c>
      <c r="H18" s="181"/>
      <c r="I18" s="36">
        <f>VORN!I25</f>
        <v>0</v>
      </c>
      <c r="J18" s="8"/>
    </row>
    <row r="19" spans="1:10" ht="15" customHeight="1">
      <c r="A19" s="30"/>
      <c r="B19" s="32" t="s">
        <v>569</v>
      </c>
      <c r="C19" s="36">
        <f>SUM('Stavební rozpočet'!W12:W222)</f>
        <v>0</v>
      </c>
      <c r="D19" s="180"/>
      <c r="E19" s="181"/>
      <c r="F19" s="37"/>
      <c r="G19" s="180" t="s">
        <v>604</v>
      </c>
      <c r="H19" s="181"/>
      <c r="I19" s="36">
        <f>VORN!I26</f>
        <v>0</v>
      </c>
      <c r="J19" s="8"/>
    </row>
    <row r="20" spans="1:10" ht="15" customHeight="1">
      <c r="A20" s="178" t="s">
        <v>450</v>
      </c>
      <c r="B20" s="179"/>
      <c r="C20" s="36">
        <f>SUM('Stavební rozpočet'!X12:X222)</f>
        <v>0</v>
      </c>
      <c r="D20" s="180"/>
      <c r="E20" s="181"/>
      <c r="F20" s="37"/>
      <c r="G20" s="180"/>
      <c r="H20" s="181"/>
      <c r="I20" s="37"/>
      <c r="J20" s="8"/>
    </row>
    <row r="21" spans="1:10" ht="15" customHeight="1">
      <c r="A21" s="178" t="s">
        <v>578</v>
      </c>
      <c r="B21" s="179"/>
      <c r="C21" s="36">
        <f>SUM('Stavební rozpočet'!P12:P222)</f>
        <v>0</v>
      </c>
      <c r="D21" s="180"/>
      <c r="E21" s="181"/>
      <c r="F21" s="37"/>
      <c r="G21" s="180"/>
      <c r="H21" s="181"/>
      <c r="I21" s="37"/>
      <c r="J21" s="8"/>
    </row>
    <row r="22" spans="1:10" ht="16.5" customHeight="1">
      <c r="A22" s="178" t="s">
        <v>579</v>
      </c>
      <c r="B22" s="179"/>
      <c r="C22" s="36">
        <f>ROUND(SUM(C14:C21),0)</f>
        <v>0</v>
      </c>
      <c r="D22" s="178" t="s">
        <v>592</v>
      </c>
      <c r="E22" s="179"/>
      <c r="F22" s="36">
        <f>SUM(F14:F21)</f>
        <v>0</v>
      </c>
      <c r="G22" s="178" t="s">
        <v>605</v>
      </c>
      <c r="H22" s="179"/>
      <c r="I22" s="36">
        <f>SUM(I14:I21)</f>
        <v>0</v>
      </c>
      <c r="J22" s="8"/>
    </row>
    <row r="23" spans="1:10" ht="15" customHeight="1">
      <c r="A23" s="16"/>
      <c r="B23" s="16"/>
      <c r="C23" s="34"/>
      <c r="D23" s="178" t="s">
        <v>593</v>
      </c>
      <c r="E23" s="179"/>
      <c r="F23" s="38">
        <v>0</v>
      </c>
      <c r="G23" s="178" t="s">
        <v>606</v>
      </c>
      <c r="H23" s="179"/>
      <c r="I23" s="36">
        <v>0</v>
      </c>
      <c r="J23" s="8"/>
    </row>
    <row r="24" spans="4:10" ht="15" customHeight="1">
      <c r="D24" s="16"/>
      <c r="E24" s="16"/>
      <c r="F24" s="39"/>
      <c r="G24" s="178" t="s">
        <v>607</v>
      </c>
      <c r="H24" s="179"/>
      <c r="I24" s="36">
        <f>vorn_sum</f>
        <v>0</v>
      </c>
      <c r="J24" s="8"/>
    </row>
    <row r="25" spans="6:10" ht="15" customHeight="1">
      <c r="F25" s="40"/>
      <c r="G25" s="178" t="s">
        <v>608</v>
      </c>
      <c r="H25" s="179"/>
      <c r="I25" s="36">
        <v>0</v>
      </c>
      <c r="J25" s="8"/>
    </row>
    <row r="26" spans="1:9" ht="12.75">
      <c r="A26" s="27"/>
      <c r="B26" s="27"/>
      <c r="C26" s="27"/>
      <c r="G26" s="16"/>
      <c r="H26" s="16"/>
      <c r="I26" s="16"/>
    </row>
    <row r="27" spans="1:9" ht="15" customHeight="1">
      <c r="A27" s="173" t="s">
        <v>580</v>
      </c>
      <c r="B27" s="174"/>
      <c r="C27" s="41">
        <f>ROUND(SUM('Stavební rozpočet'!Z12:Z222),0)</f>
        <v>0</v>
      </c>
      <c r="D27" s="35"/>
      <c r="E27" s="27"/>
      <c r="F27" s="27"/>
      <c r="G27" s="27"/>
      <c r="H27" s="27"/>
      <c r="I27" s="27"/>
    </row>
    <row r="28" spans="1:10" ht="15" customHeight="1">
      <c r="A28" s="173" t="s">
        <v>581</v>
      </c>
      <c r="B28" s="174"/>
      <c r="C28" s="41">
        <f>ROUND(SUM('Stavební rozpočet'!AA12:AA222),0)</f>
        <v>0</v>
      </c>
      <c r="D28" s="173" t="s">
        <v>594</v>
      </c>
      <c r="E28" s="174"/>
      <c r="F28" s="41">
        <f>ROUND(C28*(15/100),2)</f>
        <v>0</v>
      </c>
      <c r="G28" s="173" t="s">
        <v>609</v>
      </c>
      <c r="H28" s="174"/>
      <c r="I28" s="41">
        <f>ROUND(SUM(C27:C29),0)</f>
        <v>0</v>
      </c>
      <c r="J28" s="8"/>
    </row>
    <row r="29" spans="1:10" ht="15" customHeight="1">
      <c r="A29" s="173" t="s">
        <v>582</v>
      </c>
      <c r="B29" s="174"/>
      <c r="C29" s="41">
        <f>ROUND(SUM('Stavební rozpočet'!AB12:AB222)+(F22+I22+F23+I23+I24+I25),0)</f>
        <v>0</v>
      </c>
      <c r="D29" s="173" t="s">
        <v>595</v>
      </c>
      <c r="E29" s="174"/>
      <c r="F29" s="41">
        <f>ROUND(C29*(21/100),2)</f>
        <v>0</v>
      </c>
      <c r="G29" s="173" t="s">
        <v>610</v>
      </c>
      <c r="H29" s="174"/>
      <c r="I29" s="41">
        <f>ROUND(SUM(F28:F29)+I28,0)</f>
        <v>0</v>
      </c>
      <c r="J29" s="8"/>
    </row>
    <row r="30" spans="1:9" ht="12.75">
      <c r="A30" s="31"/>
      <c r="B30" s="31"/>
      <c r="C30" s="31"/>
      <c r="D30" s="31"/>
      <c r="E30" s="31"/>
      <c r="F30" s="31"/>
      <c r="G30" s="31"/>
      <c r="H30" s="31"/>
      <c r="I30" s="31"/>
    </row>
    <row r="31" spans="1:10" ht="14.25" customHeight="1">
      <c r="A31" s="175" t="s">
        <v>583</v>
      </c>
      <c r="B31" s="176"/>
      <c r="C31" s="177"/>
      <c r="D31" s="175" t="s">
        <v>596</v>
      </c>
      <c r="E31" s="176"/>
      <c r="F31" s="177"/>
      <c r="G31" s="175" t="s">
        <v>611</v>
      </c>
      <c r="H31" s="176"/>
      <c r="I31" s="177"/>
      <c r="J31" s="22"/>
    </row>
    <row r="32" spans="1:10" ht="14.25" customHeight="1">
      <c r="A32" s="170"/>
      <c r="B32" s="171"/>
      <c r="C32" s="172"/>
      <c r="D32" s="170"/>
      <c r="E32" s="171"/>
      <c r="F32" s="172"/>
      <c r="G32" s="170"/>
      <c r="H32" s="171"/>
      <c r="I32" s="172"/>
      <c r="J32" s="22"/>
    </row>
    <row r="33" spans="1:10" ht="14.25" customHeight="1">
      <c r="A33" s="170"/>
      <c r="B33" s="171"/>
      <c r="C33" s="172"/>
      <c r="D33" s="170"/>
      <c r="E33" s="171"/>
      <c r="F33" s="172"/>
      <c r="G33" s="170"/>
      <c r="H33" s="171"/>
      <c r="I33" s="172"/>
      <c r="J33" s="22"/>
    </row>
    <row r="34" spans="1:10" ht="14.25" customHeight="1">
      <c r="A34" s="167" t="s">
        <v>584</v>
      </c>
      <c r="B34" s="168"/>
      <c r="C34" s="169"/>
      <c r="D34" s="167" t="s">
        <v>584</v>
      </c>
      <c r="E34" s="168"/>
      <c r="F34" s="169"/>
      <c r="G34" s="167" t="s">
        <v>584</v>
      </c>
      <c r="H34" s="168"/>
      <c r="I34" s="169"/>
      <c r="J34" s="22"/>
    </row>
    <row r="35" spans="1:9" ht="11.25" customHeight="1">
      <c r="A35" s="84" t="s">
        <v>566</v>
      </c>
      <c r="B35" s="33"/>
      <c r="C35" s="33"/>
      <c r="D35" s="33"/>
      <c r="E35" s="33"/>
      <c r="F35" s="33"/>
      <c r="G35" s="33"/>
      <c r="H35" s="33"/>
      <c r="I35" s="33"/>
    </row>
    <row r="36" spans="1:9" ht="14.25">
      <c r="A36" s="85" t="s">
        <v>720</v>
      </c>
      <c r="B36" s="80"/>
      <c r="C36" s="80"/>
      <c r="D36" s="80"/>
      <c r="E36" s="80"/>
      <c r="F36" s="80"/>
      <c r="G36" s="80"/>
      <c r="H36" s="80"/>
      <c r="I36" s="80"/>
    </row>
    <row r="37" ht="14.25">
      <c r="A37" s="85" t="s">
        <v>721</v>
      </c>
    </row>
    <row r="38" ht="14.25">
      <c r="A38" s="85" t="s">
        <v>722</v>
      </c>
    </row>
    <row r="39" ht="14.25">
      <c r="A39" s="85" t="s">
        <v>723</v>
      </c>
    </row>
    <row r="40" ht="14.25">
      <c r="A40" s="86"/>
    </row>
    <row r="41" ht="14.25">
      <c r="A41" s="87" t="s">
        <v>724</v>
      </c>
    </row>
    <row r="42" ht="14.25">
      <c r="A42" s="85" t="s">
        <v>725</v>
      </c>
    </row>
  </sheetData>
  <sheetProtection sheet="1" objects="1" scenarios="1"/>
  <mergeCells count="79">
    <mergeCell ref="C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1:B21"/>
    <mergeCell ref="D21:E21"/>
    <mergeCell ref="G21:H21"/>
    <mergeCell ref="A22:B22"/>
    <mergeCell ref="D22:E22"/>
    <mergeCell ref="G22:H22"/>
    <mergeCell ref="A27:B27"/>
    <mergeCell ref="A28:B28"/>
    <mergeCell ref="D28:E28"/>
    <mergeCell ref="G28:H28"/>
    <mergeCell ref="D23:E23"/>
    <mergeCell ref="G23:H23"/>
    <mergeCell ref="G24:H24"/>
    <mergeCell ref="G25:H25"/>
    <mergeCell ref="A29:B29"/>
    <mergeCell ref="D29:E29"/>
    <mergeCell ref="G29:H29"/>
    <mergeCell ref="A31:C31"/>
    <mergeCell ref="D31:F31"/>
    <mergeCell ref="G31:I31"/>
    <mergeCell ref="A34:C34"/>
    <mergeCell ref="D34:F34"/>
    <mergeCell ref="G34:I34"/>
    <mergeCell ref="A32:C32"/>
    <mergeCell ref="D32:F32"/>
    <mergeCell ref="G32:I32"/>
    <mergeCell ref="A33:C33"/>
    <mergeCell ref="D33:F33"/>
    <mergeCell ref="G33:I33"/>
  </mergeCells>
  <printOptions/>
  <pageMargins left="0.394" right="0.394" top="0.591" bottom="0.59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K30" sqref="K3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9"/>
      <c r="B1" s="27"/>
      <c r="C1" s="192" t="s">
        <v>628</v>
      </c>
      <c r="D1" s="144"/>
      <c r="E1" s="144"/>
      <c r="F1" s="144"/>
      <c r="G1" s="144"/>
      <c r="H1" s="144"/>
      <c r="I1" s="144"/>
    </row>
    <row r="2" spans="1:10" ht="12.75">
      <c r="A2" s="145" t="s">
        <v>1</v>
      </c>
      <c r="B2" s="146"/>
      <c r="C2" s="147" t="str">
        <f>'Stavební rozpočet'!D2</f>
        <v>Autoservis - opravna zemědělských strojů, Hostín u Vojkovic</v>
      </c>
      <c r="D2" s="148"/>
      <c r="E2" s="150" t="s">
        <v>547</v>
      </c>
      <c r="F2" s="150" t="str">
        <f>'Stavební rozpočet'!J2</f>
        <v>Český chřest, s.r.o., Hlavní 545, 253 01 Chýně</v>
      </c>
      <c r="G2" s="146"/>
      <c r="H2" s="150" t="s">
        <v>612</v>
      </c>
      <c r="I2" s="193" t="s">
        <v>616</v>
      </c>
      <c r="J2" s="8"/>
    </row>
    <row r="3" spans="1:10" ht="25.5" customHeight="1">
      <c r="A3" s="139"/>
      <c r="B3" s="132"/>
      <c r="C3" s="97"/>
      <c r="D3" s="97"/>
      <c r="E3" s="132"/>
      <c r="F3" s="132"/>
      <c r="G3" s="132"/>
      <c r="H3" s="132"/>
      <c r="I3" s="137"/>
      <c r="J3" s="8"/>
    </row>
    <row r="4" spans="1:10" ht="12.75">
      <c r="A4" s="131" t="s">
        <v>2</v>
      </c>
      <c r="B4" s="132"/>
      <c r="C4" s="135" t="str">
        <f>'Stavební rozpočet'!D4</f>
        <v>změna stavby před dokončením</v>
      </c>
      <c r="D4" s="132"/>
      <c r="E4" s="135" t="s">
        <v>548</v>
      </c>
      <c r="F4" s="135" t="str">
        <f>'Stavební rozpočet'!J4</f>
        <v> </v>
      </c>
      <c r="G4" s="132"/>
      <c r="H4" s="135" t="s">
        <v>612</v>
      </c>
      <c r="I4" s="187"/>
      <c r="J4" s="8"/>
    </row>
    <row r="5" spans="1:10" ht="12.75">
      <c r="A5" s="139"/>
      <c r="B5" s="132"/>
      <c r="C5" s="132"/>
      <c r="D5" s="132"/>
      <c r="E5" s="132"/>
      <c r="F5" s="132"/>
      <c r="G5" s="132"/>
      <c r="H5" s="132"/>
      <c r="I5" s="137"/>
      <c r="J5" s="8"/>
    </row>
    <row r="6" spans="1:10" ht="12.75">
      <c r="A6" s="131" t="s">
        <v>3</v>
      </c>
      <c r="B6" s="132"/>
      <c r="C6" s="135" t="str">
        <f>'Stavební rozpočet'!D6</f>
        <v>k.ú. Hostín u Vojkovic, č.parc.st.177/1</v>
      </c>
      <c r="D6" s="132"/>
      <c r="E6" s="135" t="s">
        <v>549</v>
      </c>
      <c r="F6" s="135" t="str">
        <f>'Stavební rozpočet'!J6</f>
        <v> </v>
      </c>
      <c r="G6" s="132"/>
      <c r="H6" s="135" t="s">
        <v>612</v>
      </c>
      <c r="I6" s="187"/>
      <c r="J6" s="8"/>
    </row>
    <row r="7" spans="1:10" ht="12.75">
      <c r="A7" s="139"/>
      <c r="B7" s="132"/>
      <c r="C7" s="132"/>
      <c r="D7" s="132"/>
      <c r="E7" s="132"/>
      <c r="F7" s="132"/>
      <c r="G7" s="132"/>
      <c r="H7" s="132"/>
      <c r="I7" s="137"/>
      <c r="J7" s="8"/>
    </row>
    <row r="8" spans="1:10" ht="12.75">
      <c r="A8" s="131" t="s">
        <v>544</v>
      </c>
      <c r="B8" s="132"/>
      <c r="C8" s="135" t="str">
        <f>'Stavební rozpočet'!G4</f>
        <v> </v>
      </c>
      <c r="D8" s="132"/>
      <c r="E8" s="135" t="s">
        <v>545</v>
      </c>
      <c r="F8" s="135" t="str">
        <f>'Stavební rozpočet'!G6</f>
        <v> </v>
      </c>
      <c r="G8" s="132"/>
      <c r="H8" s="136" t="s">
        <v>613</v>
      </c>
      <c r="I8" s="187" t="s">
        <v>170</v>
      </c>
      <c r="J8" s="8"/>
    </row>
    <row r="9" spans="1:10" ht="12.75">
      <c r="A9" s="139"/>
      <c r="B9" s="132"/>
      <c r="C9" s="132"/>
      <c r="D9" s="132"/>
      <c r="E9" s="132"/>
      <c r="F9" s="132"/>
      <c r="G9" s="132"/>
      <c r="H9" s="132"/>
      <c r="I9" s="137"/>
      <c r="J9" s="8"/>
    </row>
    <row r="10" spans="1:10" ht="12.75">
      <c r="A10" s="131" t="s">
        <v>4</v>
      </c>
      <c r="B10" s="132"/>
      <c r="C10" s="135" t="str">
        <f>'Stavební rozpočet'!D8</f>
        <v> </v>
      </c>
      <c r="D10" s="132"/>
      <c r="E10" s="135" t="s">
        <v>550</v>
      </c>
      <c r="F10" s="135" t="str">
        <f>'Stavební rozpočet'!J8</f>
        <v>PMM projekt s.r.o.,</v>
      </c>
      <c r="G10" s="132"/>
      <c r="H10" s="136" t="s">
        <v>614</v>
      </c>
      <c r="I10" s="186" t="str">
        <f>'Stavební rozpočet'!G8</f>
        <v>30.06.2018</v>
      </c>
      <c r="J10" s="8"/>
    </row>
    <row r="11" spans="1:10" ht="12.75">
      <c r="A11" s="133"/>
      <c r="B11" s="134"/>
      <c r="C11" s="134"/>
      <c r="D11" s="134"/>
      <c r="E11" s="134"/>
      <c r="F11" s="134"/>
      <c r="G11" s="134"/>
      <c r="H11" s="134"/>
      <c r="I11" s="138"/>
      <c r="J11" s="8"/>
    </row>
    <row r="12" spans="1:9" ht="12.7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5" customHeight="1">
      <c r="A13" s="209" t="s">
        <v>617</v>
      </c>
      <c r="B13" s="210"/>
      <c r="C13" s="210"/>
      <c r="D13" s="210"/>
      <c r="E13" s="210"/>
      <c r="F13" s="43"/>
      <c r="G13" s="43"/>
      <c r="H13" s="43"/>
      <c r="I13" s="43"/>
    </row>
    <row r="14" spans="1:10" ht="12.75">
      <c r="A14" s="211" t="s">
        <v>618</v>
      </c>
      <c r="B14" s="212"/>
      <c r="C14" s="212"/>
      <c r="D14" s="212"/>
      <c r="E14" s="213"/>
      <c r="F14" s="44" t="s">
        <v>629</v>
      </c>
      <c r="G14" s="44" t="s">
        <v>630</v>
      </c>
      <c r="H14" s="44" t="s">
        <v>631</v>
      </c>
      <c r="I14" s="44" t="s">
        <v>629</v>
      </c>
      <c r="J14" s="22"/>
    </row>
    <row r="15" spans="1:10" ht="12.75">
      <c r="A15" s="194" t="s">
        <v>589</v>
      </c>
      <c r="B15" s="195"/>
      <c r="C15" s="195"/>
      <c r="D15" s="195"/>
      <c r="E15" s="196"/>
      <c r="F15" s="81">
        <v>0</v>
      </c>
      <c r="G15" s="81">
        <v>0</v>
      </c>
      <c r="H15" s="45">
        <f>H21</f>
        <v>0</v>
      </c>
      <c r="I15" s="45">
        <f>F15+G15*0.01*H15</f>
        <v>0</v>
      </c>
      <c r="J15" s="8"/>
    </row>
    <row r="16" spans="1:10" ht="12.75">
      <c r="A16" s="194" t="s">
        <v>590</v>
      </c>
      <c r="B16" s="195"/>
      <c r="C16" s="195"/>
      <c r="D16" s="195"/>
      <c r="E16" s="196"/>
      <c r="F16" s="81">
        <v>0</v>
      </c>
      <c r="G16" s="81">
        <v>0</v>
      </c>
      <c r="H16" s="45">
        <f>H21</f>
        <v>0</v>
      </c>
      <c r="I16" s="45">
        <f>F16+G16*0.01*H16</f>
        <v>0</v>
      </c>
      <c r="J16" s="8"/>
    </row>
    <row r="17" spans="1:10" ht="12.75">
      <c r="A17" s="197" t="s">
        <v>591</v>
      </c>
      <c r="B17" s="198"/>
      <c r="C17" s="198"/>
      <c r="D17" s="198"/>
      <c r="E17" s="199"/>
      <c r="F17" s="82">
        <v>0</v>
      </c>
      <c r="G17" s="81">
        <v>0</v>
      </c>
      <c r="H17" s="45">
        <f>H21</f>
        <v>0</v>
      </c>
      <c r="I17" s="45">
        <f>F17+G17*0.01*H17</f>
        <v>0</v>
      </c>
      <c r="J17" s="8"/>
    </row>
    <row r="18" spans="1:10" ht="12.75">
      <c r="A18" s="200" t="s">
        <v>619</v>
      </c>
      <c r="B18" s="201"/>
      <c r="C18" s="201"/>
      <c r="D18" s="201"/>
      <c r="E18" s="202"/>
      <c r="F18" s="46"/>
      <c r="G18" s="47"/>
      <c r="H18" s="47"/>
      <c r="I18" s="48">
        <f>SUM(I15:I17)</f>
        <v>0</v>
      </c>
      <c r="J18" s="22"/>
    </row>
    <row r="19" spans="1:9" ht="12.75">
      <c r="A19" s="42"/>
      <c r="B19" s="42"/>
      <c r="C19" s="42"/>
      <c r="D19" s="42"/>
      <c r="E19" s="42"/>
      <c r="F19" s="42"/>
      <c r="G19" s="42"/>
      <c r="H19" s="42"/>
      <c r="I19" s="42"/>
    </row>
    <row r="20" spans="1:10" ht="12.75">
      <c r="A20" s="211" t="s">
        <v>615</v>
      </c>
      <c r="B20" s="212"/>
      <c r="C20" s="212"/>
      <c r="D20" s="212"/>
      <c r="E20" s="213"/>
      <c r="F20" s="44" t="s">
        <v>629</v>
      </c>
      <c r="G20" s="44" t="s">
        <v>630</v>
      </c>
      <c r="H20" s="44" t="s">
        <v>631</v>
      </c>
      <c r="I20" s="44" t="s">
        <v>629</v>
      </c>
      <c r="J20" s="22"/>
    </row>
    <row r="21" spans="1:10" ht="12.75">
      <c r="A21" s="194" t="s">
        <v>599</v>
      </c>
      <c r="B21" s="195"/>
      <c r="C21" s="195"/>
      <c r="D21" s="195"/>
      <c r="E21" s="196"/>
      <c r="F21" s="81">
        <v>0</v>
      </c>
      <c r="G21" s="81">
        <v>0</v>
      </c>
      <c r="H21" s="45">
        <f>'Krycí list rozpočtu'!C22</f>
        <v>0</v>
      </c>
      <c r="I21" s="45">
        <f aca="true" t="shared" si="0" ref="I21:I26">F21+(G21/100)*H21</f>
        <v>0</v>
      </c>
      <c r="J21" s="8"/>
    </row>
    <row r="22" spans="1:10" ht="12.75">
      <c r="A22" s="194" t="s">
        <v>600</v>
      </c>
      <c r="B22" s="195"/>
      <c r="C22" s="195"/>
      <c r="D22" s="195"/>
      <c r="E22" s="196"/>
      <c r="F22" s="81">
        <v>0</v>
      </c>
      <c r="G22" s="81">
        <v>0</v>
      </c>
      <c r="H22" s="45">
        <f>H21</f>
        <v>0</v>
      </c>
      <c r="I22" s="45">
        <f t="shared" si="0"/>
        <v>0</v>
      </c>
      <c r="J22" s="8"/>
    </row>
    <row r="23" spans="1:10" ht="12.75">
      <c r="A23" s="194" t="s">
        <v>601</v>
      </c>
      <c r="B23" s="195"/>
      <c r="C23" s="195"/>
      <c r="D23" s="195"/>
      <c r="E23" s="196"/>
      <c r="F23" s="81">
        <v>0</v>
      </c>
      <c r="G23" s="81">
        <v>0</v>
      </c>
      <c r="H23" s="45">
        <f>H21</f>
        <v>0</v>
      </c>
      <c r="I23" s="45">
        <f t="shared" si="0"/>
        <v>0</v>
      </c>
      <c r="J23" s="8"/>
    </row>
    <row r="24" spans="1:10" ht="12.75">
      <c r="A24" s="194" t="s">
        <v>602</v>
      </c>
      <c r="B24" s="195"/>
      <c r="C24" s="195"/>
      <c r="D24" s="195"/>
      <c r="E24" s="196"/>
      <c r="F24" s="81">
        <v>0</v>
      </c>
      <c r="G24" s="81">
        <v>0</v>
      </c>
      <c r="H24" s="45">
        <f>H21</f>
        <v>0</v>
      </c>
      <c r="I24" s="45">
        <f t="shared" si="0"/>
        <v>0</v>
      </c>
      <c r="J24" s="8"/>
    </row>
    <row r="25" spans="1:10" ht="12.75">
      <c r="A25" s="194" t="s">
        <v>603</v>
      </c>
      <c r="B25" s="195"/>
      <c r="C25" s="195"/>
      <c r="D25" s="195"/>
      <c r="E25" s="196"/>
      <c r="F25" s="81">
        <v>0</v>
      </c>
      <c r="G25" s="81">
        <v>0</v>
      </c>
      <c r="H25" s="45">
        <f>H21</f>
        <v>0</v>
      </c>
      <c r="I25" s="45">
        <f t="shared" si="0"/>
        <v>0</v>
      </c>
      <c r="J25" s="8"/>
    </row>
    <row r="26" spans="1:10" ht="12.75">
      <c r="A26" s="197" t="s">
        <v>604</v>
      </c>
      <c r="B26" s="198"/>
      <c r="C26" s="198"/>
      <c r="D26" s="198"/>
      <c r="E26" s="199"/>
      <c r="F26" s="82">
        <v>0</v>
      </c>
      <c r="G26" s="81">
        <v>0</v>
      </c>
      <c r="H26" s="45">
        <f>H21</f>
        <v>0</v>
      </c>
      <c r="I26" s="45">
        <f t="shared" si="0"/>
        <v>0</v>
      </c>
      <c r="J26" s="8"/>
    </row>
    <row r="27" spans="1:10" ht="12.75">
      <c r="A27" s="200" t="s">
        <v>620</v>
      </c>
      <c r="B27" s="201"/>
      <c r="C27" s="201"/>
      <c r="D27" s="201"/>
      <c r="E27" s="202"/>
      <c r="F27" s="46"/>
      <c r="G27" s="47"/>
      <c r="H27" s="47"/>
      <c r="I27" s="48">
        <f>SUM(I21:I26)</f>
        <v>0</v>
      </c>
      <c r="J27" s="22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  <row r="29" spans="1:10" ht="15" customHeight="1">
      <c r="A29" s="203" t="s">
        <v>621</v>
      </c>
      <c r="B29" s="204"/>
      <c r="C29" s="204"/>
      <c r="D29" s="204"/>
      <c r="E29" s="205"/>
      <c r="F29" s="206">
        <f>I18+I27</f>
        <v>0</v>
      </c>
      <c r="G29" s="207"/>
      <c r="H29" s="207"/>
      <c r="I29" s="208"/>
      <c r="J29" s="22"/>
    </row>
    <row r="30" spans="1:9" ht="12.75">
      <c r="A30" s="33"/>
      <c r="B30" s="33"/>
      <c r="C30" s="33"/>
      <c r="D30" s="33"/>
      <c r="E30" s="33"/>
      <c r="F30" s="33"/>
      <c r="G30" s="33"/>
      <c r="H30" s="33"/>
      <c r="I30" s="33"/>
    </row>
    <row r="33" spans="1:9" ht="15" customHeight="1">
      <c r="A33" s="209" t="s">
        <v>622</v>
      </c>
      <c r="B33" s="210"/>
      <c r="C33" s="210"/>
      <c r="D33" s="210"/>
      <c r="E33" s="210"/>
      <c r="F33" s="43"/>
      <c r="G33" s="43"/>
      <c r="H33" s="43"/>
      <c r="I33" s="43"/>
    </row>
    <row r="34" spans="1:10" ht="12.75">
      <c r="A34" s="211" t="s">
        <v>623</v>
      </c>
      <c r="B34" s="212"/>
      <c r="C34" s="212"/>
      <c r="D34" s="212"/>
      <c r="E34" s="213"/>
      <c r="F34" s="44" t="s">
        <v>629</v>
      </c>
      <c r="G34" s="44" t="s">
        <v>630</v>
      </c>
      <c r="H34" s="44" t="s">
        <v>631</v>
      </c>
      <c r="I34" s="44" t="s">
        <v>629</v>
      </c>
      <c r="J34" s="22"/>
    </row>
    <row r="35" spans="1:10" ht="12.75">
      <c r="A35" s="194" t="s">
        <v>624</v>
      </c>
      <c r="B35" s="195"/>
      <c r="C35" s="195"/>
      <c r="D35" s="195"/>
      <c r="E35" s="196"/>
      <c r="F35" s="81">
        <v>0</v>
      </c>
      <c r="G35" s="81">
        <v>0</v>
      </c>
      <c r="H35" s="45">
        <f>H21</f>
        <v>0</v>
      </c>
      <c r="I35" s="45">
        <f>F35+(G35*0.01*H35)</f>
        <v>0</v>
      </c>
      <c r="J35" s="8"/>
    </row>
    <row r="36" spans="1:10" ht="12.75">
      <c r="A36" s="194" t="s">
        <v>625</v>
      </c>
      <c r="B36" s="195"/>
      <c r="C36" s="195"/>
      <c r="D36" s="195"/>
      <c r="E36" s="196"/>
      <c r="F36" s="81">
        <v>0</v>
      </c>
      <c r="G36" s="81">
        <v>0</v>
      </c>
      <c r="H36" s="45">
        <f>H21</f>
        <v>0</v>
      </c>
      <c r="I36" s="45">
        <f>F36+(G36*0.01*H36)</f>
        <v>0</v>
      </c>
      <c r="J36" s="8"/>
    </row>
    <row r="37" spans="1:10" ht="12.75">
      <c r="A37" s="197" t="s">
        <v>626</v>
      </c>
      <c r="B37" s="198"/>
      <c r="C37" s="198"/>
      <c r="D37" s="198"/>
      <c r="E37" s="199"/>
      <c r="F37" s="82">
        <v>0</v>
      </c>
      <c r="G37" s="81">
        <v>0</v>
      </c>
      <c r="H37" s="45">
        <f>H21</f>
        <v>0</v>
      </c>
      <c r="I37" s="45">
        <f>F37+(G37*0.01*H37)</f>
        <v>0</v>
      </c>
      <c r="J37" s="8"/>
    </row>
    <row r="38" spans="1:10" ht="12.75">
      <c r="A38" s="200" t="s">
        <v>627</v>
      </c>
      <c r="B38" s="201"/>
      <c r="C38" s="201"/>
      <c r="D38" s="201"/>
      <c r="E38" s="202"/>
      <c r="F38" s="46"/>
      <c r="G38" s="47"/>
      <c r="H38" s="47"/>
      <c r="I38" s="48">
        <f>SUM(I35:I37)</f>
        <v>0</v>
      </c>
      <c r="J38" s="22"/>
    </row>
    <row r="39" spans="1:9" ht="12.75">
      <c r="A39" s="33"/>
      <c r="B39" s="33"/>
      <c r="C39" s="33"/>
      <c r="D39" s="33"/>
      <c r="E39" s="33"/>
      <c r="F39" s="33"/>
      <c r="G39" s="33"/>
      <c r="H39" s="33"/>
      <c r="I39" s="33"/>
    </row>
  </sheetData>
  <sheetProtection sheet="1" objects="1" scenarios="1"/>
  <mergeCells count="53">
    <mergeCell ref="C1:I1"/>
    <mergeCell ref="A2:B3"/>
    <mergeCell ref="C2:D3"/>
    <mergeCell ref="E2:E3"/>
    <mergeCell ref="F2:G3"/>
    <mergeCell ref="H2:H3"/>
    <mergeCell ref="I2:I3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17:E17"/>
    <mergeCell ref="A18:E18"/>
    <mergeCell ref="A10:B11"/>
    <mergeCell ref="C10:D11"/>
    <mergeCell ref="E10:E11"/>
    <mergeCell ref="A13:E13"/>
    <mergeCell ref="A14:E14"/>
    <mergeCell ref="A15:E15"/>
    <mergeCell ref="A16:E16"/>
    <mergeCell ref="A33:E33"/>
    <mergeCell ref="A34:E34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5:E35"/>
    <mergeCell ref="A36:E36"/>
    <mergeCell ref="A37:E37"/>
    <mergeCell ref="A38:E38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5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01.8515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4" ht="12.75">
      <c r="A2" s="145" t="s">
        <v>1</v>
      </c>
      <c r="B2" s="146"/>
      <c r="C2" s="146"/>
      <c r="D2" s="147" t="s">
        <v>632</v>
      </c>
      <c r="E2" s="149" t="s">
        <v>543</v>
      </c>
      <c r="F2" s="146"/>
      <c r="G2" s="220" t="s">
        <v>6</v>
      </c>
      <c r="H2" s="221"/>
      <c r="I2" s="150" t="s">
        <v>547</v>
      </c>
      <c r="J2" s="150" t="s">
        <v>639</v>
      </c>
      <c r="K2" s="146"/>
      <c r="L2" s="146"/>
      <c r="M2" s="151"/>
      <c r="N2" s="8"/>
    </row>
    <row r="3" spans="1:14" ht="12.75">
      <c r="A3" s="139"/>
      <c r="B3" s="132"/>
      <c r="C3" s="132"/>
      <c r="D3" s="97"/>
      <c r="E3" s="132"/>
      <c r="F3" s="132"/>
      <c r="G3" s="215"/>
      <c r="H3" s="215"/>
      <c r="I3" s="132"/>
      <c r="J3" s="132"/>
      <c r="K3" s="132"/>
      <c r="L3" s="132"/>
      <c r="M3" s="137"/>
      <c r="N3" s="8"/>
    </row>
    <row r="4" spans="1:14" ht="12.75">
      <c r="A4" s="131" t="s">
        <v>2</v>
      </c>
      <c r="B4" s="132"/>
      <c r="C4" s="132"/>
      <c r="D4" s="135" t="s">
        <v>633</v>
      </c>
      <c r="E4" s="136" t="s">
        <v>544</v>
      </c>
      <c r="F4" s="132"/>
      <c r="G4" s="214" t="s">
        <v>6</v>
      </c>
      <c r="H4" s="215"/>
      <c r="I4" s="135" t="s">
        <v>548</v>
      </c>
      <c r="J4" s="135" t="s">
        <v>6</v>
      </c>
      <c r="K4" s="132"/>
      <c r="L4" s="132"/>
      <c r="M4" s="137"/>
      <c r="N4" s="8"/>
    </row>
    <row r="5" spans="1:14" ht="12.75">
      <c r="A5" s="139"/>
      <c r="B5" s="132"/>
      <c r="C5" s="132"/>
      <c r="D5" s="132"/>
      <c r="E5" s="132"/>
      <c r="F5" s="132"/>
      <c r="G5" s="215"/>
      <c r="H5" s="215"/>
      <c r="I5" s="132"/>
      <c r="J5" s="132"/>
      <c r="K5" s="132"/>
      <c r="L5" s="132"/>
      <c r="M5" s="137"/>
      <c r="N5" s="8"/>
    </row>
    <row r="6" spans="1:14" ht="12.75">
      <c r="A6" s="131" t="s">
        <v>3</v>
      </c>
      <c r="B6" s="132"/>
      <c r="C6" s="132"/>
      <c r="D6" s="135" t="s">
        <v>634</v>
      </c>
      <c r="E6" s="136" t="s">
        <v>545</v>
      </c>
      <c r="F6" s="132"/>
      <c r="G6" s="214" t="s">
        <v>6</v>
      </c>
      <c r="H6" s="215"/>
      <c r="I6" s="135" t="s">
        <v>549</v>
      </c>
      <c r="J6" s="217" t="s">
        <v>6</v>
      </c>
      <c r="K6" s="215"/>
      <c r="L6" s="215"/>
      <c r="M6" s="218"/>
      <c r="N6" s="8"/>
    </row>
    <row r="7" spans="1:14" ht="12.75">
      <c r="A7" s="139"/>
      <c r="B7" s="132"/>
      <c r="C7" s="132"/>
      <c r="D7" s="132"/>
      <c r="E7" s="132"/>
      <c r="F7" s="132"/>
      <c r="G7" s="215"/>
      <c r="H7" s="215"/>
      <c r="I7" s="132"/>
      <c r="J7" s="215"/>
      <c r="K7" s="215"/>
      <c r="L7" s="215"/>
      <c r="M7" s="218"/>
      <c r="N7" s="8"/>
    </row>
    <row r="8" spans="1:14" ht="12.75">
      <c r="A8" s="131" t="s">
        <v>4</v>
      </c>
      <c r="B8" s="132"/>
      <c r="C8" s="132"/>
      <c r="D8" s="135" t="s">
        <v>6</v>
      </c>
      <c r="E8" s="136" t="s">
        <v>546</v>
      </c>
      <c r="F8" s="132"/>
      <c r="G8" s="214" t="s">
        <v>636</v>
      </c>
      <c r="H8" s="215"/>
      <c r="I8" s="135" t="s">
        <v>550</v>
      </c>
      <c r="J8" s="217" t="s">
        <v>640</v>
      </c>
      <c r="K8" s="215"/>
      <c r="L8" s="215"/>
      <c r="M8" s="218"/>
      <c r="N8" s="8"/>
    </row>
    <row r="9" spans="1:14" ht="12.75">
      <c r="A9" s="164"/>
      <c r="B9" s="165"/>
      <c r="C9" s="165"/>
      <c r="D9" s="165"/>
      <c r="E9" s="165"/>
      <c r="F9" s="165"/>
      <c r="G9" s="216"/>
      <c r="H9" s="216"/>
      <c r="I9" s="165"/>
      <c r="J9" s="216"/>
      <c r="K9" s="216"/>
      <c r="L9" s="216"/>
      <c r="M9" s="219"/>
      <c r="N9" s="8"/>
    </row>
    <row r="10" spans="1:14" ht="12.75">
      <c r="A10" s="49" t="s">
        <v>5</v>
      </c>
      <c r="B10" s="55" t="s">
        <v>171</v>
      </c>
      <c r="C10" s="55" t="s">
        <v>177</v>
      </c>
      <c r="D10" s="55" t="s">
        <v>348</v>
      </c>
      <c r="E10" s="55" t="s">
        <v>551</v>
      </c>
      <c r="F10" s="60" t="s">
        <v>561</v>
      </c>
      <c r="G10" s="61" t="s">
        <v>637</v>
      </c>
      <c r="H10" s="157" t="s">
        <v>567</v>
      </c>
      <c r="I10" s="158"/>
      <c r="J10" s="159"/>
      <c r="K10" s="157" t="s">
        <v>571</v>
      </c>
      <c r="L10" s="159"/>
      <c r="M10" s="70" t="s">
        <v>641</v>
      </c>
      <c r="N10" s="22"/>
    </row>
    <row r="11" spans="1:24" ht="12.75">
      <c r="A11" s="50" t="s">
        <v>6</v>
      </c>
      <c r="B11" s="56" t="s">
        <v>6</v>
      </c>
      <c r="C11" s="56" t="s">
        <v>6</v>
      </c>
      <c r="D11" s="13" t="s">
        <v>635</v>
      </c>
      <c r="E11" s="56" t="s">
        <v>6</v>
      </c>
      <c r="F11" s="56" t="s">
        <v>6</v>
      </c>
      <c r="G11" s="62" t="s">
        <v>638</v>
      </c>
      <c r="H11" s="18" t="s">
        <v>568</v>
      </c>
      <c r="I11" s="19" t="s">
        <v>569</v>
      </c>
      <c r="J11" s="21" t="s">
        <v>570</v>
      </c>
      <c r="K11" s="18" t="s">
        <v>637</v>
      </c>
      <c r="L11" s="21" t="s">
        <v>570</v>
      </c>
      <c r="M11" s="71" t="s">
        <v>642</v>
      </c>
      <c r="N11" s="22"/>
      <c r="P11" s="67" t="s">
        <v>644</v>
      </c>
      <c r="Q11" s="67" t="s">
        <v>645</v>
      </c>
      <c r="R11" s="67" t="s">
        <v>646</v>
      </c>
      <c r="S11" s="67" t="s">
        <v>647</v>
      </c>
      <c r="T11" s="67" t="s">
        <v>648</v>
      </c>
      <c r="U11" s="67" t="s">
        <v>649</v>
      </c>
      <c r="V11" s="67" t="s">
        <v>650</v>
      </c>
      <c r="W11" s="67" t="s">
        <v>651</v>
      </c>
      <c r="X11" s="67" t="s">
        <v>652</v>
      </c>
    </row>
    <row r="12" spans="1:13" ht="12.75">
      <c r="A12" s="51"/>
      <c r="B12" s="57" t="s">
        <v>172</v>
      </c>
      <c r="C12" s="57"/>
      <c r="D12" s="57" t="s">
        <v>349</v>
      </c>
      <c r="E12" s="51" t="s">
        <v>6</v>
      </c>
      <c r="F12" s="51" t="s">
        <v>6</v>
      </c>
      <c r="G12" s="63" t="s">
        <v>6</v>
      </c>
      <c r="H12" s="77">
        <f>H13+H16+H21+H23+H38+H40+H45+H47+H50+H54+H56+H64+H73+H79+H82+H87+H91+H94+H97+H102+H107+H109+H111+H113</f>
        <v>0</v>
      </c>
      <c r="I12" s="77">
        <f>I13+I16+I21+I23+I38+I40+I45+I47+I50+I54+I56+I64+I73+I79+I82+I87+I91+I94+I97+I102+I107+I109+I111+I113</f>
        <v>0</v>
      </c>
      <c r="J12" s="77">
        <f>H12+I12</f>
        <v>0</v>
      </c>
      <c r="K12" s="66"/>
      <c r="L12" s="77">
        <f>L13+L16+L21+L23+L38+L40+L45+L47+L50+L54+L56+L64+L73+L79+L82+L87+L91+L94+L97+L102+L107+L109+L111+L113</f>
        <v>1250.9661575</v>
      </c>
      <c r="M12" s="66"/>
    </row>
    <row r="13" spans="1:37" ht="12.75">
      <c r="A13" s="52"/>
      <c r="B13" s="58" t="s">
        <v>172</v>
      </c>
      <c r="C13" s="58" t="s">
        <v>19</v>
      </c>
      <c r="D13" s="58" t="s">
        <v>350</v>
      </c>
      <c r="E13" s="52" t="s">
        <v>6</v>
      </c>
      <c r="F13" s="52" t="s">
        <v>6</v>
      </c>
      <c r="G13" s="64" t="s">
        <v>6</v>
      </c>
      <c r="H13" s="9">
        <f>SUM(H14:H15)</f>
        <v>0</v>
      </c>
      <c r="I13" s="9">
        <f>SUM(I14:I15)</f>
        <v>0</v>
      </c>
      <c r="J13" s="9">
        <f>H13+I13</f>
        <v>0</v>
      </c>
      <c r="K13" s="67"/>
      <c r="L13" s="9">
        <f>SUM(L14:L15)</f>
        <v>0</v>
      </c>
      <c r="M13" s="67"/>
      <c r="Y13" s="67" t="s">
        <v>172</v>
      </c>
      <c r="AI13" s="9">
        <f>SUM(Z14:Z15)</f>
        <v>0</v>
      </c>
      <c r="AJ13" s="9">
        <f>SUM(AA14:AA15)</f>
        <v>0</v>
      </c>
      <c r="AK13" s="9">
        <f>SUM(AB14:AB15)</f>
        <v>0</v>
      </c>
    </row>
    <row r="14" spans="1:48" ht="12.75">
      <c r="A14" s="1" t="s">
        <v>7</v>
      </c>
      <c r="B14" s="1" t="s">
        <v>172</v>
      </c>
      <c r="C14" s="1" t="s">
        <v>178</v>
      </c>
      <c r="D14" s="1" t="s">
        <v>351</v>
      </c>
      <c r="E14" s="1" t="s">
        <v>552</v>
      </c>
      <c r="F14" s="4">
        <f>'Rozpočet - vybrané sloupce'!BA13</f>
        <v>13.56</v>
      </c>
      <c r="G14" s="6">
        <f>'Rozpočet - vybrané sloupce'!BF13</f>
        <v>0</v>
      </c>
      <c r="H14" s="4">
        <f>F14*AE14</f>
        <v>0</v>
      </c>
      <c r="I14" s="4">
        <f>J14-H14</f>
        <v>0</v>
      </c>
      <c r="J14" s="4">
        <f>F14*G14</f>
        <v>0</v>
      </c>
      <c r="K14" s="4">
        <v>0</v>
      </c>
      <c r="L14" s="4">
        <f>F14*K14</f>
        <v>0</v>
      </c>
      <c r="M14" s="72" t="s">
        <v>643</v>
      </c>
      <c r="P14" s="23">
        <f>IF(AG14="5",J14,0)</f>
        <v>0</v>
      </c>
      <c r="R14" s="23">
        <f>IF(AG14="1",H14,0)</f>
        <v>0</v>
      </c>
      <c r="S14" s="23">
        <f>IF(AG14="1",I14,0)</f>
        <v>0</v>
      </c>
      <c r="T14" s="23">
        <f>IF(AG14="7",H14,0)</f>
        <v>0</v>
      </c>
      <c r="U14" s="23">
        <f>IF(AG14="7",I14,0)</f>
        <v>0</v>
      </c>
      <c r="V14" s="23">
        <f>IF(AG14="2",H14,0)</f>
        <v>0</v>
      </c>
      <c r="W14" s="23">
        <f>IF(AG14="2",I14,0)</f>
        <v>0</v>
      </c>
      <c r="X14" s="23">
        <f>IF(AG14="0",J14,0)</f>
        <v>0</v>
      </c>
      <c r="Y14" s="67" t="s">
        <v>172</v>
      </c>
      <c r="Z14" s="4">
        <f>IF(AD14=0,J14,0)</f>
        <v>0</v>
      </c>
      <c r="AA14" s="4">
        <f>IF(AD14=15,J14,0)</f>
        <v>0</v>
      </c>
      <c r="AB14" s="4">
        <f>IF(AD14=21,J14,0)</f>
        <v>0</v>
      </c>
      <c r="AD14" s="23">
        <v>21</v>
      </c>
      <c r="AE14" s="23">
        <f>G14*0</f>
        <v>0</v>
      </c>
      <c r="AF14" s="23">
        <f>G14*(1-0)</f>
        <v>0</v>
      </c>
      <c r="AG14" s="72" t="s">
        <v>7</v>
      </c>
      <c r="AM14" s="23">
        <f>F14*AE14</f>
        <v>0</v>
      </c>
      <c r="AN14" s="23">
        <f>F14*AF14</f>
        <v>0</v>
      </c>
      <c r="AO14" s="75" t="s">
        <v>654</v>
      </c>
      <c r="AP14" s="75" t="s">
        <v>687</v>
      </c>
      <c r="AQ14" s="67" t="s">
        <v>709</v>
      </c>
      <c r="AS14" s="23">
        <f>AM14+AN14</f>
        <v>0</v>
      </c>
      <c r="AT14" s="23">
        <f>G14/(100-AU14)*100</f>
        <v>0</v>
      </c>
      <c r="AU14" s="23">
        <v>0</v>
      </c>
      <c r="AV14" s="23">
        <f>L14</f>
        <v>0</v>
      </c>
    </row>
    <row r="15" spans="1:48" ht="12.75">
      <c r="A15" s="1" t="s">
        <v>8</v>
      </c>
      <c r="B15" s="1" t="s">
        <v>172</v>
      </c>
      <c r="C15" s="1" t="s">
        <v>179</v>
      </c>
      <c r="D15" s="1" t="s">
        <v>352</v>
      </c>
      <c r="E15" s="1" t="s">
        <v>552</v>
      </c>
      <c r="F15" s="4">
        <f>'Rozpočet - vybrané sloupce'!BA14</f>
        <v>132.7</v>
      </c>
      <c r="G15" s="6">
        <f>'Rozpočet - vybrané sloupce'!BF14</f>
        <v>0</v>
      </c>
      <c r="H15" s="4">
        <f>F15*AE15</f>
        <v>0</v>
      </c>
      <c r="I15" s="4">
        <f>J15-H15</f>
        <v>0</v>
      </c>
      <c r="J15" s="4">
        <f>F15*G15</f>
        <v>0</v>
      </c>
      <c r="K15" s="4">
        <v>0</v>
      </c>
      <c r="L15" s="4">
        <f>F15*K15</f>
        <v>0</v>
      </c>
      <c r="M15" s="72" t="s">
        <v>643</v>
      </c>
      <c r="P15" s="23">
        <f>IF(AG15="5",J15,0)</f>
        <v>0</v>
      </c>
      <c r="R15" s="23">
        <f>IF(AG15="1",H15,0)</f>
        <v>0</v>
      </c>
      <c r="S15" s="23">
        <f>IF(AG15="1",I15,0)</f>
        <v>0</v>
      </c>
      <c r="T15" s="23">
        <f>IF(AG15="7",H15,0)</f>
        <v>0</v>
      </c>
      <c r="U15" s="23">
        <f>IF(AG15="7",I15,0)</f>
        <v>0</v>
      </c>
      <c r="V15" s="23">
        <f>IF(AG15="2",H15,0)</f>
        <v>0</v>
      </c>
      <c r="W15" s="23">
        <f>IF(AG15="2",I15,0)</f>
        <v>0</v>
      </c>
      <c r="X15" s="23">
        <f>IF(AG15="0",J15,0)</f>
        <v>0</v>
      </c>
      <c r="Y15" s="67" t="s">
        <v>172</v>
      </c>
      <c r="Z15" s="4">
        <f>IF(AD15=0,J15,0)</f>
        <v>0</v>
      </c>
      <c r="AA15" s="4">
        <f>IF(AD15=15,J15,0)</f>
        <v>0</v>
      </c>
      <c r="AB15" s="4">
        <f>IF(AD15=21,J15,0)</f>
        <v>0</v>
      </c>
      <c r="AD15" s="23">
        <v>21</v>
      </c>
      <c r="AE15" s="23">
        <f>G15*0</f>
        <v>0</v>
      </c>
      <c r="AF15" s="23">
        <f>G15*(1-0)</f>
        <v>0</v>
      </c>
      <c r="AG15" s="72" t="s">
        <v>7</v>
      </c>
      <c r="AM15" s="23">
        <f>F15*AE15</f>
        <v>0</v>
      </c>
      <c r="AN15" s="23">
        <f>F15*AF15</f>
        <v>0</v>
      </c>
      <c r="AO15" s="75" t="s">
        <v>654</v>
      </c>
      <c r="AP15" s="75" t="s">
        <v>687</v>
      </c>
      <c r="AQ15" s="67" t="s">
        <v>709</v>
      </c>
      <c r="AS15" s="23">
        <f>AM15+AN15</f>
        <v>0</v>
      </c>
      <c r="AT15" s="23">
        <f>G15/(100-AU15)*100</f>
        <v>0</v>
      </c>
      <c r="AU15" s="23">
        <v>0</v>
      </c>
      <c r="AV15" s="23">
        <f>L15</f>
        <v>0</v>
      </c>
    </row>
    <row r="16" spans="1:37" ht="12.75">
      <c r="A16" s="52"/>
      <c r="B16" s="58" t="s">
        <v>172</v>
      </c>
      <c r="C16" s="58" t="s">
        <v>22</v>
      </c>
      <c r="D16" s="58" t="s">
        <v>353</v>
      </c>
      <c r="E16" s="52" t="s">
        <v>6</v>
      </c>
      <c r="F16" s="52" t="s">
        <v>6</v>
      </c>
      <c r="G16" s="64" t="s">
        <v>6</v>
      </c>
      <c r="H16" s="9">
        <f>SUM(H17:H20)</f>
        <v>0</v>
      </c>
      <c r="I16" s="9">
        <f>SUM(I17:I20)</f>
        <v>0</v>
      </c>
      <c r="J16" s="9">
        <f>H16+I16</f>
        <v>0</v>
      </c>
      <c r="K16" s="67"/>
      <c r="L16" s="9">
        <f>SUM(L17:L20)</f>
        <v>0</v>
      </c>
      <c r="M16" s="67"/>
      <c r="Y16" s="67" t="s">
        <v>172</v>
      </c>
      <c r="AI16" s="9">
        <f>SUM(Z17:Z20)</f>
        <v>0</v>
      </c>
      <c r="AJ16" s="9">
        <f>SUM(AA17:AA20)</f>
        <v>0</v>
      </c>
      <c r="AK16" s="9">
        <f>SUM(AB17:AB20)</f>
        <v>0</v>
      </c>
    </row>
    <row r="17" spans="1:48" ht="12.75">
      <c r="A17" s="1" t="s">
        <v>9</v>
      </c>
      <c r="B17" s="1" t="s">
        <v>172</v>
      </c>
      <c r="C17" s="1" t="s">
        <v>180</v>
      </c>
      <c r="D17" s="1" t="s">
        <v>354</v>
      </c>
      <c r="E17" s="1" t="s">
        <v>552</v>
      </c>
      <c r="F17" s="4">
        <f>'Rozpočet - vybrané sloupce'!BA16</f>
        <v>146.26</v>
      </c>
      <c r="G17" s="6">
        <f>'Rozpočet - vybrané sloupce'!BF16</f>
        <v>0</v>
      </c>
      <c r="H17" s="4">
        <f>F17*AE17</f>
        <v>0</v>
      </c>
      <c r="I17" s="4">
        <f>J17-H17</f>
        <v>0</v>
      </c>
      <c r="J17" s="4">
        <f>F17*G17</f>
        <v>0</v>
      </c>
      <c r="K17" s="4">
        <v>0</v>
      </c>
      <c r="L17" s="4">
        <f>F17*K17</f>
        <v>0</v>
      </c>
      <c r="M17" s="72" t="s">
        <v>643</v>
      </c>
      <c r="P17" s="23">
        <f>IF(AG17="5",J17,0)</f>
        <v>0</v>
      </c>
      <c r="R17" s="23">
        <f>IF(AG17="1",H17,0)</f>
        <v>0</v>
      </c>
      <c r="S17" s="23">
        <f>IF(AG17="1",I17,0)</f>
        <v>0</v>
      </c>
      <c r="T17" s="23">
        <f>IF(AG17="7",H17,0)</f>
        <v>0</v>
      </c>
      <c r="U17" s="23">
        <f>IF(AG17="7",I17,0)</f>
        <v>0</v>
      </c>
      <c r="V17" s="23">
        <f>IF(AG17="2",H17,0)</f>
        <v>0</v>
      </c>
      <c r="W17" s="23">
        <f>IF(AG17="2",I17,0)</f>
        <v>0</v>
      </c>
      <c r="X17" s="23">
        <f>IF(AG17="0",J17,0)</f>
        <v>0</v>
      </c>
      <c r="Y17" s="67" t="s">
        <v>172</v>
      </c>
      <c r="Z17" s="4">
        <f>IF(AD17=0,J17,0)</f>
        <v>0</v>
      </c>
      <c r="AA17" s="4">
        <f>IF(AD17=15,J17,0)</f>
        <v>0</v>
      </c>
      <c r="AB17" s="4">
        <f>IF(AD17=21,J17,0)</f>
        <v>0</v>
      </c>
      <c r="AD17" s="23">
        <v>21</v>
      </c>
      <c r="AE17" s="23">
        <f>G17*0</f>
        <v>0</v>
      </c>
      <c r="AF17" s="23">
        <f>G17*(1-0)</f>
        <v>0</v>
      </c>
      <c r="AG17" s="72" t="s">
        <v>7</v>
      </c>
      <c r="AM17" s="23">
        <f>F17*AE17</f>
        <v>0</v>
      </c>
      <c r="AN17" s="23">
        <f>F17*AF17</f>
        <v>0</v>
      </c>
      <c r="AO17" s="75" t="s">
        <v>655</v>
      </c>
      <c r="AP17" s="75" t="s">
        <v>687</v>
      </c>
      <c r="AQ17" s="67" t="s">
        <v>709</v>
      </c>
      <c r="AS17" s="23">
        <f>AM17+AN17</f>
        <v>0</v>
      </c>
      <c r="AT17" s="23">
        <f>G17/(100-AU17)*100</f>
        <v>0</v>
      </c>
      <c r="AU17" s="23">
        <v>0</v>
      </c>
      <c r="AV17" s="23">
        <f>L17</f>
        <v>0</v>
      </c>
    </row>
    <row r="18" spans="1:48" ht="12.75">
      <c r="A18" s="1" t="s">
        <v>10</v>
      </c>
      <c r="B18" s="1" t="s">
        <v>172</v>
      </c>
      <c r="C18" s="1" t="s">
        <v>181</v>
      </c>
      <c r="D18" s="1" t="s">
        <v>355</v>
      </c>
      <c r="E18" s="1" t="s">
        <v>552</v>
      </c>
      <c r="F18" s="4">
        <f>'Rozpočet - vybrané sloupce'!BA17</f>
        <v>146.26</v>
      </c>
      <c r="G18" s="6">
        <f>'Rozpočet - vybrané sloupce'!BF17</f>
        <v>0</v>
      </c>
      <c r="H18" s="4">
        <f>F18*AE18</f>
        <v>0</v>
      </c>
      <c r="I18" s="4">
        <f>J18-H18</f>
        <v>0</v>
      </c>
      <c r="J18" s="4">
        <f>F18*G18</f>
        <v>0</v>
      </c>
      <c r="K18" s="4">
        <v>0</v>
      </c>
      <c r="L18" s="4">
        <f>F18*K18</f>
        <v>0</v>
      </c>
      <c r="M18" s="72" t="s">
        <v>643</v>
      </c>
      <c r="P18" s="23">
        <f>IF(AG18="5",J18,0)</f>
        <v>0</v>
      </c>
      <c r="R18" s="23">
        <f>IF(AG18="1",H18,0)</f>
        <v>0</v>
      </c>
      <c r="S18" s="23">
        <f>IF(AG18="1",I18,0)</f>
        <v>0</v>
      </c>
      <c r="T18" s="23">
        <f>IF(AG18="7",H18,0)</f>
        <v>0</v>
      </c>
      <c r="U18" s="23">
        <f>IF(AG18="7",I18,0)</f>
        <v>0</v>
      </c>
      <c r="V18" s="23">
        <f>IF(AG18="2",H18,0)</f>
        <v>0</v>
      </c>
      <c r="W18" s="23">
        <f>IF(AG18="2",I18,0)</f>
        <v>0</v>
      </c>
      <c r="X18" s="23">
        <f>IF(AG18="0",J18,0)</f>
        <v>0</v>
      </c>
      <c r="Y18" s="67" t="s">
        <v>172</v>
      </c>
      <c r="Z18" s="4">
        <f>IF(AD18=0,J18,0)</f>
        <v>0</v>
      </c>
      <c r="AA18" s="4">
        <f>IF(AD18=15,J18,0)</f>
        <v>0</v>
      </c>
      <c r="AB18" s="4">
        <f>IF(AD18=21,J18,0)</f>
        <v>0</v>
      </c>
      <c r="AD18" s="23">
        <v>21</v>
      </c>
      <c r="AE18" s="23">
        <f>G18*0</f>
        <v>0</v>
      </c>
      <c r="AF18" s="23">
        <f>G18*(1-0)</f>
        <v>0</v>
      </c>
      <c r="AG18" s="72" t="s">
        <v>7</v>
      </c>
      <c r="AM18" s="23">
        <f>F18*AE18</f>
        <v>0</v>
      </c>
      <c r="AN18" s="23">
        <f>F18*AF18</f>
        <v>0</v>
      </c>
      <c r="AO18" s="75" t="s">
        <v>655</v>
      </c>
      <c r="AP18" s="75" t="s">
        <v>687</v>
      </c>
      <c r="AQ18" s="67" t="s">
        <v>709</v>
      </c>
      <c r="AS18" s="23">
        <f>AM18+AN18</f>
        <v>0</v>
      </c>
      <c r="AT18" s="23">
        <f>G18/(100-AU18)*100</f>
        <v>0</v>
      </c>
      <c r="AU18" s="23">
        <v>0</v>
      </c>
      <c r="AV18" s="23">
        <f>L18</f>
        <v>0</v>
      </c>
    </row>
    <row r="19" spans="1:48" ht="12.75">
      <c r="A19" s="1" t="s">
        <v>11</v>
      </c>
      <c r="B19" s="1" t="s">
        <v>172</v>
      </c>
      <c r="C19" s="1" t="s">
        <v>182</v>
      </c>
      <c r="D19" s="1" t="s">
        <v>356</v>
      </c>
      <c r="E19" s="1" t="s">
        <v>553</v>
      </c>
      <c r="F19" s="4">
        <f>'Rozpočet - vybrané sloupce'!BA18</f>
        <v>4724.26</v>
      </c>
      <c r="G19" s="6">
        <f>'Rozpočet - vybrané sloupce'!BF18</f>
        <v>0</v>
      </c>
      <c r="H19" s="4">
        <f>F19*AE19</f>
        <v>0</v>
      </c>
      <c r="I19" s="4">
        <f>J19-H19</f>
        <v>0</v>
      </c>
      <c r="J19" s="4">
        <f>F19*G19</f>
        <v>0</v>
      </c>
      <c r="K19" s="4">
        <v>0</v>
      </c>
      <c r="L19" s="4">
        <f>F19*K19</f>
        <v>0</v>
      </c>
      <c r="M19" s="72" t="s">
        <v>643</v>
      </c>
      <c r="P19" s="23">
        <f>IF(AG19="5",J19,0)</f>
        <v>0</v>
      </c>
      <c r="R19" s="23">
        <f>IF(AG19="1",H19,0)</f>
        <v>0</v>
      </c>
      <c r="S19" s="23">
        <f>IF(AG19="1",I19,0)</f>
        <v>0</v>
      </c>
      <c r="T19" s="23">
        <f>IF(AG19="7",H19,0)</f>
        <v>0</v>
      </c>
      <c r="U19" s="23">
        <f>IF(AG19="7",I19,0)</f>
        <v>0</v>
      </c>
      <c r="V19" s="23">
        <f>IF(AG19="2",H19,0)</f>
        <v>0</v>
      </c>
      <c r="W19" s="23">
        <f>IF(AG19="2",I19,0)</f>
        <v>0</v>
      </c>
      <c r="X19" s="23">
        <f>IF(AG19="0",J19,0)</f>
        <v>0</v>
      </c>
      <c r="Y19" s="67" t="s">
        <v>172</v>
      </c>
      <c r="Z19" s="4">
        <f>IF(AD19=0,J19,0)</f>
        <v>0</v>
      </c>
      <c r="AA19" s="4">
        <f>IF(AD19=15,J19,0)</f>
        <v>0</v>
      </c>
      <c r="AB19" s="4">
        <f>IF(AD19=21,J19,0)</f>
        <v>0</v>
      </c>
      <c r="AD19" s="23">
        <v>21</v>
      </c>
      <c r="AE19" s="23">
        <f>G19*0</f>
        <v>0</v>
      </c>
      <c r="AF19" s="23">
        <f>G19*(1-0)</f>
        <v>0</v>
      </c>
      <c r="AG19" s="72" t="s">
        <v>11</v>
      </c>
      <c r="AM19" s="23">
        <f>F19*AE19</f>
        <v>0</v>
      </c>
      <c r="AN19" s="23">
        <f>F19*AF19</f>
        <v>0</v>
      </c>
      <c r="AO19" s="75" t="s">
        <v>655</v>
      </c>
      <c r="AP19" s="75" t="s">
        <v>687</v>
      </c>
      <c r="AQ19" s="67" t="s">
        <v>709</v>
      </c>
      <c r="AS19" s="23">
        <f>AM19+AN19</f>
        <v>0</v>
      </c>
      <c r="AT19" s="23">
        <f>G19/(100-AU19)*100</f>
        <v>0</v>
      </c>
      <c r="AU19" s="23">
        <v>0</v>
      </c>
      <c r="AV19" s="23">
        <f>L19</f>
        <v>0</v>
      </c>
    </row>
    <row r="20" spans="1:48" ht="12.75">
      <c r="A20" s="1" t="s">
        <v>12</v>
      </c>
      <c r="B20" s="1" t="s">
        <v>172</v>
      </c>
      <c r="C20" s="1" t="s">
        <v>183</v>
      </c>
      <c r="D20" s="1" t="s">
        <v>357</v>
      </c>
      <c r="E20" s="1" t="s">
        <v>553</v>
      </c>
      <c r="F20" s="4">
        <f>'Rozpočet - vybrané sloupce'!BA19</f>
        <v>248.65</v>
      </c>
      <c r="G20" s="6">
        <f>'Rozpočet - vybrané sloupce'!BF19</f>
        <v>0</v>
      </c>
      <c r="H20" s="4">
        <f>F20*AE20</f>
        <v>0</v>
      </c>
      <c r="I20" s="4">
        <f>J20-H20</f>
        <v>0</v>
      </c>
      <c r="J20" s="4">
        <f>F20*G20</f>
        <v>0</v>
      </c>
      <c r="K20" s="4">
        <v>0</v>
      </c>
      <c r="L20" s="4">
        <f>F20*K20</f>
        <v>0</v>
      </c>
      <c r="M20" s="72" t="s">
        <v>643</v>
      </c>
      <c r="P20" s="23">
        <f>IF(AG20="5",J20,0)</f>
        <v>0</v>
      </c>
      <c r="R20" s="23">
        <f>IF(AG20="1",H20,0)</f>
        <v>0</v>
      </c>
      <c r="S20" s="23">
        <f>IF(AG20="1",I20,0)</f>
        <v>0</v>
      </c>
      <c r="T20" s="23">
        <f>IF(AG20="7",H20,0)</f>
        <v>0</v>
      </c>
      <c r="U20" s="23">
        <f>IF(AG20="7",I20,0)</f>
        <v>0</v>
      </c>
      <c r="V20" s="23">
        <f>IF(AG20="2",H20,0)</f>
        <v>0</v>
      </c>
      <c r="W20" s="23">
        <f>IF(AG20="2",I20,0)</f>
        <v>0</v>
      </c>
      <c r="X20" s="23">
        <f>IF(AG20="0",J20,0)</f>
        <v>0</v>
      </c>
      <c r="Y20" s="67" t="s">
        <v>172</v>
      </c>
      <c r="Z20" s="4">
        <f>IF(AD20=0,J20,0)</f>
        <v>0</v>
      </c>
      <c r="AA20" s="4">
        <f>IF(AD20=15,J20,0)</f>
        <v>0</v>
      </c>
      <c r="AB20" s="4">
        <f>IF(AD20=21,J20,0)</f>
        <v>0</v>
      </c>
      <c r="AD20" s="23">
        <v>21</v>
      </c>
      <c r="AE20" s="23">
        <f>G20*0</f>
        <v>0</v>
      </c>
      <c r="AF20" s="23">
        <f>G20*(1-0)</f>
        <v>0</v>
      </c>
      <c r="AG20" s="72" t="s">
        <v>11</v>
      </c>
      <c r="AM20" s="23">
        <f>F20*AE20</f>
        <v>0</v>
      </c>
      <c r="AN20" s="23">
        <f>F20*AF20</f>
        <v>0</v>
      </c>
      <c r="AO20" s="75" t="s">
        <v>655</v>
      </c>
      <c r="AP20" s="75" t="s">
        <v>687</v>
      </c>
      <c r="AQ20" s="67" t="s">
        <v>709</v>
      </c>
      <c r="AS20" s="23">
        <f>AM20+AN20</f>
        <v>0</v>
      </c>
      <c r="AT20" s="23">
        <f>G20/(100-AU20)*100</f>
        <v>0</v>
      </c>
      <c r="AU20" s="23">
        <v>0</v>
      </c>
      <c r="AV20" s="23">
        <f>L20</f>
        <v>0</v>
      </c>
    </row>
    <row r="21" spans="1:37" ht="12.75">
      <c r="A21" s="52"/>
      <c r="B21" s="58" t="s">
        <v>172</v>
      </c>
      <c r="C21" s="58" t="s">
        <v>25</v>
      </c>
      <c r="D21" s="58" t="s">
        <v>358</v>
      </c>
      <c r="E21" s="52" t="s">
        <v>6</v>
      </c>
      <c r="F21" s="52" t="s">
        <v>6</v>
      </c>
      <c r="G21" s="64" t="s">
        <v>6</v>
      </c>
      <c r="H21" s="9">
        <f>SUM(H22:H22)</f>
        <v>0</v>
      </c>
      <c r="I21" s="9">
        <f>SUM(I22:I22)</f>
        <v>0</v>
      </c>
      <c r="J21" s="9">
        <f>H21+I21</f>
        <v>0</v>
      </c>
      <c r="K21" s="67"/>
      <c r="L21" s="9">
        <f>SUM(L22:L22)</f>
        <v>0</v>
      </c>
      <c r="M21" s="67"/>
      <c r="Y21" s="67" t="s">
        <v>172</v>
      </c>
      <c r="AI21" s="9">
        <f>SUM(Z22:Z22)</f>
        <v>0</v>
      </c>
      <c r="AJ21" s="9">
        <f>SUM(AA22:AA22)</f>
        <v>0</v>
      </c>
      <c r="AK21" s="9">
        <f>SUM(AB22:AB22)</f>
        <v>0</v>
      </c>
    </row>
    <row r="22" spans="1:48" ht="12.75">
      <c r="A22" s="1" t="s">
        <v>13</v>
      </c>
      <c r="B22" s="1" t="s">
        <v>172</v>
      </c>
      <c r="C22" s="1" t="s">
        <v>184</v>
      </c>
      <c r="D22" s="1" t="s">
        <v>359</v>
      </c>
      <c r="E22" s="1" t="s">
        <v>553</v>
      </c>
      <c r="F22" s="4">
        <f>'Rozpočet - vybrané sloupce'!BA21</f>
        <v>248.65</v>
      </c>
      <c r="G22" s="6">
        <f>'Rozpočet - vybrané sloupce'!BF21</f>
        <v>0</v>
      </c>
      <c r="H22" s="4">
        <f>F22*AE22</f>
        <v>0</v>
      </c>
      <c r="I22" s="4">
        <f>J22-H22</f>
        <v>0</v>
      </c>
      <c r="J22" s="4">
        <f>F22*G22</f>
        <v>0</v>
      </c>
      <c r="K22" s="4">
        <v>0</v>
      </c>
      <c r="L22" s="4">
        <f>F22*K22</f>
        <v>0</v>
      </c>
      <c r="M22" s="72" t="s">
        <v>643</v>
      </c>
      <c r="P22" s="23">
        <f>IF(AG22="5",J22,0)</f>
        <v>0</v>
      </c>
      <c r="R22" s="23">
        <f>IF(AG22="1",H22,0)</f>
        <v>0</v>
      </c>
      <c r="S22" s="23">
        <f>IF(AG22="1",I22,0)</f>
        <v>0</v>
      </c>
      <c r="T22" s="23">
        <f>IF(AG22="7",H22,0)</f>
        <v>0</v>
      </c>
      <c r="U22" s="23">
        <f>IF(AG22="7",I22,0)</f>
        <v>0</v>
      </c>
      <c r="V22" s="23">
        <f>IF(AG22="2",H22,0)</f>
        <v>0</v>
      </c>
      <c r="W22" s="23">
        <f>IF(AG22="2",I22,0)</f>
        <v>0</v>
      </c>
      <c r="X22" s="23">
        <f>IF(AG22="0",J22,0)</f>
        <v>0</v>
      </c>
      <c r="Y22" s="67" t="s">
        <v>172</v>
      </c>
      <c r="Z22" s="4">
        <f>IF(AD22=0,J22,0)</f>
        <v>0</v>
      </c>
      <c r="AA22" s="4">
        <f>IF(AD22=15,J22,0)</f>
        <v>0</v>
      </c>
      <c r="AB22" s="4">
        <f>IF(AD22=21,J22,0)</f>
        <v>0</v>
      </c>
      <c r="AD22" s="23">
        <v>21</v>
      </c>
      <c r="AE22" s="23">
        <f>G22*0</f>
        <v>0</v>
      </c>
      <c r="AF22" s="23">
        <f>G22*(1-0)</f>
        <v>0</v>
      </c>
      <c r="AG22" s="72" t="s">
        <v>7</v>
      </c>
      <c r="AM22" s="23">
        <f>F22*AE22</f>
        <v>0</v>
      </c>
      <c r="AN22" s="23">
        <f>F22*AF22</f>
        <v>0</v>
      </c>
      <c r="AO22" s="75" t="s">
        <v>656</v>
      </c>
      <c r="AP22" s="75" t="s">
        <v>687</v>
      </c>
      <c r="AQ22" s="67" t="s">
        <v>709</v>
      </c>
      <c r="AS22" s="23">
        <f>AM22+AN22</f>
        <v>0</v>
      </c>
      <c r="AT22" s="23">
        <f>G22/(100-AU22)*100</f>
        <v>0</v>
      </c>
      <c r="AU22" s="23">
        <v>0</v>
      </c>
      <c r="AV22" s="23">
        <f>L22</f>
        <v>0</v>
      </c>
    </row>
    <row r="23" spans="1:37" ht="12.75">
      <c r="A23" s="52"/>
      <c r="B23" s="58" t="s">
        <v>172</v>
      </c>
      <c r="C23" s="58" t="s">
        <v>33</v>
      </c>
      <c r="D23" s="58" t="s">
        <v>360</v>
      </c>
      <c r="E23" s="52" t="s">
        <v>6</v>
      </c>
      <c r="F23" s="52" t="s">
        <v>6</v>
      </c>
      <c r="G23" s="64" t="s">
        <v>6</v>
      </c>
      <c r="H23" s="9">
        <f>SUM(H24:H37)</f>
        <v>0</v>
      </c>
      <c r="I23" s="9">
        <f>SUM(I24:I37)</f>
        <v>0</v>
      </c>
      <c r="J23" s="9">
        <f>H23+I23</f>
        <v>0</v>
      </c>
      <c r="K23" s="67"/>
      <c r="L23" s="9">
        <f>SUM(L24:L37)</f>
        <v>838.6373172</v>
      </c>
      <c r="M23" s="67"/>
      <c r="Y23" s="67" t="s">
        <v>172</v>
      </c>
      <c r="AI23" s="9">
        <f>SUM(Z24:Z37)</f>
        <v>0</v>
      </c>
      <c r="AJ23" s="9">
        <f>SUM(AA24:AA37)</f>
        <v>0</v>
      </c>
      <c r="AK23" s="9">
        <f>SUM(AB24:AB37)</f>
        <v>0</v>
      </c>
    </row>
    <row r="24" spans="1:48" ht="12.75">
      <c r="A24" s="1" t="s">
        <v>14</v>
      </c>
      <c r="B24" s="1" t="s">
        <v>172</v>
      </c>
      <c r="C24" s="1" t="s">
        <v>185</v>
      </c>
      <c r="D24" s="1" t="s">
        <v>361</v>
      </c>
      <c r="E24" s="1" t="s">
        <v>552</v>
      </c>
      <c r="F24" s="4">
        <f>'Rozpočet - vybrané sloupce'!BA23</f>
        <v>82.3</v>
      </c>
      <c r="G24" s="6">
        <f>'Rozpočet - vybrané sloupce'!BF23</f>
        <v>0</v>
      </c>
      <c r="H24" s="4">
        <f aca="true" t="shared" si="0" ref="H24:H37">F24*AE24</f>
        <v>0</v>
      </c>
      <c r="I24" s="4">
        <f aca="true" t="shared" si="1" ref="I24:I37">J24-H24</f>
        <v>0</v>
      </c>
      <c r="J24" s="4">
        <f aca="true" t="shared" si="2" ref="J24:J37">F24*G24</f>
        <v>0</v>
      </c>
      <c r="K24" s="4">
        <v>1.78164</v>
      </c>
      <c r="L24" s="4">
        <f aca="true" t="shared" si="3" ref="L24:L37">F24*K24</f>
        <v>146.62897199999998</v>
      </c>
      <c r="M24" s="72" t="s">
        <v>643</v>
      </c>
      <c r="P24" s="23">
        <f aca="true" t="shared" si="4" ref="P24:P37">IF(AG24="5",J24,0)</f>
        <v>0</v>
      </c>
      <c r="R24" s="23">
        <f aca="true" t="shared" si="5" ref="R24:R37">IF(AG24="1",H24,0)</f>
        <v>0</v>
      </c>
      <c r="S24" s="23">
        <f aca="true" t="shared" si="6" ref="S24:S37">IF(AG24="1",I24,0)</f>
        <v>0</v>
      </c>
      <c r="T24" s="23">
        <f aca="true" t="shared" si="7" ref="T24:T37">IF(AG24="7",H24,0)</f>
        <v>0</v>
      </c>
      <c r="U24" s="23">
        <f aca="true" t="shared" si="8" ref="U24:U37">IF(AG24="7",I24,0)</f>
        <v>0</v>
      </c>
      <c r="V24" s="23">
        <f aca="true" t="shared" si="9" ref="V24:V37">IF(AG24="2",H24,0)</f>
        <v>0</v>
      </c>
      <c r="W24" s="23">
        <f aca="true" t="shared" si="10" ref="W24:W37">IF(AG24="2",I24,0)</f>
        <v>0</v>
      </c>
      <c r="X24" s="23">
        <f aca="true" t="shared" si="11" ref="X24:X37">IF(AG24="0",J24,0)</f>
        <v>0</v>
      </c>
      <c r="Y24" s="67" t="s">
        <v>172</v>
      </c>
      <c r="Z24" s="4">
        <f aca="true" t="shared" si="12" ref="Z24:Z37">IF(AD24=0,J24,0)</f>
        <v>0</v>
      </c>
      <c r="AA24" s="4">
        <f aca="true" t="shared" si="13" ref="AA24:AA37">IF(AD24=15,J24,0)</f>
        <v>0</v>
      </c>
      <c r="AB24" s="4">
        <f aca="true" t="shared" si="14" ref="AB24:AB37">IF(AD24=21,J24,0)</f>
        <v>0</v>
      </c>
      <c r="AD24" s="23">
        <v>21</v>
      </c>
      <c r="AE24" s="23">
        <f>G24*0.592177777777778</f>
        <v>0</v>
      </c>
      <c r="AF24" s="23">
        <f>G24*(1-0.592177777777778)</f>
        <v>0</v>
      </c>
      <c r="AG24" s="72" t="s">
        <v>7</v>
      </c>
      <c r="AM24" s="23">
        <f aca="true" t="shared" si="15" ref="AM24:AM37">F24*AE24</f>
        <v>0</v>
      </c>
      <c r="AN24" s="23">
        <f aca="true" t="shared" si="16" ref="AN24:AN37">F24*AF24</f>
        <v>0</v>
      </c>
      <c r="AO24" s="75" t="s">
        <v>657</v>
      </c>
      <c r="AP24" s="75" t="s">
        <v>688</v>
      </c>
      <c r="AQ24" s="67" t="s">
        <v>709</v>
      </c>
      <c r="AS24" s="23">
        <f aca="true" t="shared" si="17" ref="AS24:AS37">AM24+AN24</f>
        <v>0</v>
      </c>
      <c r="AT24" s="23">
        <f aca="true" t="shared" si="18" ref="AT24:AT37">G24/(100-AU24)*100</f>
        <v>0</v>
      </c>
      <c r="AU24" s="23">
        <v>0</v>
      </c>
      <c r="AV24" s="23">
        <f aca="true" t="shared" si="19" ref="AV24:AV37">L24</f>
        <v>146.62897199999998</v>
      </c>
    </row>
    <row r="25" spans="1:48" ht="12.75">
      <c r="A25" s="1" t="s">
        <v>15</v>
      </c>
      <c r="B25" s="1" t="s">
        <v>172</v>
      </c>
      <c r="C25" s="1" t="s">
        <v>186</v>
      </c>
      <c r="D25" s="1" t="s">
        <v>362</v>
      </c>
      <c r="E25" s="1" t="s">
        <v>554</v>
      </c>
      <c r="F25" s="4">
        <f>'Rozpočet - vybrané sloupce'!BA24</f>
        <v>38.18</v>
      </c>
      <c r="G25" s="6">
        <f>'Rozpočet - vybrané sloupce'!BF24</f>
        <v>0</v>
      </c>
      <c r="H25" s="4">
        <f t="shared" si="0"/>
        <v>0</v>
      </c>
      <c r="I25" s="4">
        <f t="shared" si="1"/>
        <v>0</v>
      </c>
      <c r="J25" s="4">
        <f t="shared" si="2"/>
        <v>0</v>
      </c>
      <c r="K25" s="4">
        <v>0.0392</v>
      </c>
      <c r="L25" s="4">
        <f t="shared" si="3"/>
        <v>1.496656</v>
      </c>
      <c r="M25" s="72" t="s">
        <v>643</v>
      </c>
      <c r="P25" s="23">
        <f t="shared" si="4"/>
        <v>0</v>
      </c>
      <c r="R25" s="23">
        <f t="shared" si="5"/>
        <v>0</v>
      </c>
      <c r="S25" s="23">
        <f t="shared" si="6"/>
        <v>0</v>
      </c>
      <c r="T25" s="23">
        <f t="shared" si="7"/>
        <v>0</v>
      </c>
      <c r="U25" s="23">
        <f t="shared" si="8"/>
        <v>0</v>
      </c>
      <c r="V25" s="23">
        <f t="shared" si="9"/>
        <v>0</v>
      </c>
      <c r="W25" s="23">
        <f t="shared" si="10"/>
        <v>0</v>
      </c>
      <c r="X25" s="23">
        <f t="shared" si="11"/>
        <v>0</v>
      </c>
      <c r="Y25" s="67" t="s">
        <v>172</v>
      </c>
      <c r="Z25" s="4">
        <f t="shared" si="12"/>
        <v>0</v>
      </c>
      <c r="AA25" s="4">
        <f t="shared" si="13"/>
        <v>0</v>
      </c>
      <c r="AB25" s="4">
        <f t="shared" si="14"/>
        <v>0</v>
      </c>
      <c r="AD25" s="23">
        <v>21</v>
      </c>
      <c r="AE25" s="23">
        <f>G25*0.232867610928071</f>
        <v>0</v>
      </c>
      <c r="AF25" s="23">
        <f>G25*(1-0.232867610928071)</f>
        <v>0</v>
      </c>
      <c r="AG25" s="72" t="s">
        <v>7</v>
      </c>
      <c r="AM25" s="23">
        <f t="shared" si="15"/>
        <v>0</v>
      </c>
      <c r="AN25" s="23">
        <f t="shared" si="16"/>
        <v>0</v>
      </c>
      <c r="AO25" s="75" t="s">
        <v>657</v>
      </c>
      <c r="AP25" s="75" t="s">
        <v>688</v>
      </c>
      <c r="AQ25" s="67" t="s">
        <v>709</v>
      </c>
      <c r="AS25" s="23">
        <f t="shared" si="17"/>
        <v>0</v>
      </c>
      <c r="AT25" s="23">
        <f t="shared" si="18"/>
        <v>0</v>
      </c>
      <c r="AU25" s="23">
        <v>0</v>
      </c>
      <c r="AV25" s="23">
        <f t="shared" si="19"/>
        <v>1.496656</v>
      </c>
    </row>
    <row r="26" spans="1:48" ht="12.75">
      <c r="A26" s="1" t="s">
        <v>16</v>
      </c>
      <c r="B26" s="1" t="s">
        <v>172</v>
      </c>
      <c r="C26" s="1" t="s">
        <v>187</v>
      </c>
      <c r="D26" s="1" t="s">
        <v>363</v>
      </c>
      <c r="E26" s="1" t="s">
        <v>554</v>
      </c>
      <c r="F26" s="4">
        <f>'Rozpočet - vybrané sloupce'!BA25</f>
        <v>38.18</v>
      </c>
      <c r="G26" s="6">
        <f>'Rozpočet - vybrané sloupce'!BF25</f>
        <v>0</v>
      </c>
      <c r="H26" s="4">
        <f t="shared" si="0"/>
        <v>0</v>
      </c>
      <c r="I26" s="4">
        <f t="shared" si="1"/>
        <v>0</v>
      </c>
      <c r="J26" s="4">
        <f t="shared" si="2"/>
        <v>0</v>
      </c>
      <c r="K26" s="4">
        <v>0</v>
      </c>
      <c r="L26" s="4">
        <f t="shared" si="3"/>
        <v>0</v>
      </c>
      <c r="M26" s="72" t="s">
        <v>643</v>
      </c>
      <c r="P26" s="23">
        <f t="shared" si="4"/>
        <v>0</v>
      </c>
      <c r="R26" s="23">
        <f t="shared" si="5"/>
        <v>0</v>
      </c>
      <c r="S26" s="23">
        <f t="shared" si="6"/>
        <v>0</v>
      </c>
      <c r="T26" s="23">
        <f t="shared" si="7"/>
        <v>0</v>
      </c>
      <c r="U26" s="23">
        <f t="shared" si="8"/>
        <v>0</v>
      </c>
      <c r="V26" s="23">
        <f t="shared" si="9"/>
        <v>0</v>
      </c>
      <c r="W26" s="23">
        <f t="shared" si="10"/>
        <v>0</v>
      </c>
      <c r="X26" s="23">
        <f t="shared" si="11"/>
        <v>0</v>
      </c>
      <c r="Y26" s="67" t="s">
        <v>172</v>
      </c>
      <c r="Z26" s="4">
        <f t="shared" si="12"/>
        <v>0</v>
      </c>
      <c r="AA26" s="4">
        <f t="shared" si="13"/>
        <v>0</v>
      </c>
      <c r="AB26" s="4">
        <f t="shared" si="14"/>
        <v>0</v>
      </c>
      <c r="AD26" s="23">
        <v>21</v>
      </c>
      <c r="AE26" s="23">
        <f>G26*0</f>
        <v>0</v>
      </c>
      <c r="AF26" s="23">
        <f>G26*(1-0)</f>
        <v>0</v>
      </c>
      <c r="AG26" s="72" t="s">
        <v>7</v>
      </c>
      <c r="AM26" s="23">
        <f t="shared" si="15"/>
        <v>0</v>
      </c>
      <c r="AN26" s="23">
        <f t="shared" si="16"/>
        <v>0</v>
      </c>
      <c r="AO26" s="75" t="s">
        <v>657</v>
      </c>
      <c r="AP26" s="75" t="s">
        <v>688</v>
      </c>
      <c r="AQ26" s="67" t="s">
        <v>709</v>
      </c>
      <c r="AS26" s="23">
        <f t="shared" si="17"/>
        <v>0</v>
      </c>
      <c r="AT26" s="23">
        <f t="shared" si="18"/>
        <v>0</v>
      </c>
      <c r="AU26" s="23">
        <v>0</v>
      </c>
      <c r="AV26" s="23">
        <f t="shared" si="19"/>
        <v>0</v>
      </c>
    </row>
    <row r="27" spans="1:48" ht="12.75">
      <c r="A27" s="1" t="s">
        <v>17</v>
      </c>
      <c r="B27" s="1" t="s">
        <v>172</v>
      </c>
      <c r="C27" s="1" t="s">
        <v>188</v>
      </c>
      <c r="D27" s="1" t="s">
        <v>364</v>
      </c>
      <c r="E27" s="1" t="s">
        <v>553</v>
      </c>
      <c r="F27" s="4">
        <f>'Rozpočet - vybrané sloupce'!BA26</f>
        <v>2.24</v>
      </c>
      <c r="G27" s="6">
        <f>'Rozpočet - vybrané sloupce'!BF26</f>
        <v>0</v>
      </c>
      <c r="H27" s="4">
        <f t="shared" si="0"/>
        <v>0</v>
      </c>
      <c r="I27" s="4">
        <f t="shared" si="1"/>
        <v>0</v>
      </c>
      <c r="J27" s="4">
        <f t="shared" si="2"/>
        <v>0</v>
      </c>
      <c r="K27" s="4">
        <v>1.05702</v>
      </c>
      <c r="L27" s="4">
        <f t="shared" si="3"/>
        <v>2.3677248000000004</v>
      </c>
      <c r="M27" s="72" t="s">
        <v>643</v>
      </c>
      <c r="P27" s="23">
        <f t="shared" si="4"/>
        <v>0</v>
      </c>
      <c r="R27" s="23">
        <f t="shared" si="5"/>
        <v>0</v>
      </c>
      <c r="S27" s="23">
        <f t="shared" si="6"/>
        <v>0</v>
      </c>
      <c r="T27" s="23">
        <f t="shared" si="7"/>
        <v>0</v>
      </c>
      <c r="U27" s="23">
        <f t="shared" si="8"/>
        <v>0</v>
      </c>
      <c r="V27" s="23">
        <f t="shared" si="9"/>
        <v>0</v>
      </c>
      <c r="W27" s="23">
        <f t="shared" si="10"/>
        <v>0</v>
      </c>
      <c r="X27" s="23">
        <f t="shared" si="11"/>
        <v>0</v>
      </c>
      <c r="Y27" s="67" t="s">
        <v>172</v>
      </c>
      <c r="Z27" s="4">
        <f t="shared" si="12"/>
        <v>0</v>
      </c>
      <c r="AA27" s="4">
        <f t="shared" si="13"/>
        <v>0</v>
      </c>
      <c r="AB27" s="4">
        <f t="shared" si="14"/>
        <v>0</v>
      </c>
      <c r="AD27" s="23">
        <v>21</v>
      </c>
      <c r="AE27" s="23">
        <f>G27*0.810011930926217</f>
        <v>0</v>
      </c>
      <c r="AF27" s="23">
        <f>G27*(1-0.810011930926217)</f>
        <v>0</v>
      </c>
      <c r="AG27" s="72" t="s">
        <v>7</v>
      </c>
      <c r="AM27" s="23">
        <f t="shared" si="15"/>
        <v>0</v>
      </c>
      <c r="AN27" s="23">
        <f t="shared" si="16"/>
        <v>0</v>
      </c>
      <c r="AO27" s="75" t="s">
        <v>657</v>
      </c>
      <c r="AP27" s="75" t="s">
        <v>688</v>
      </c>
      <c r="AQ27" s="67" t="s">
        <v>709</v>
      </c>
      <c r="AS27" s="23">
        <f t="shared" si="17"/>
        <v>0</v>
      </c>
      <c r="AT27" s="23">
        <f t="shared" si="18"/>
        <v>0</v>
      </c>
      <c r="AU27" s="23">
        <v>0</v>
      </c>
      <c r="AV27" s="23">
        <f t="shared" si="19"/>
        <v>2.3677248000000004</v>
      </c>
    </row>
    <row r="28" spans="1:48" ht="12.75">
      <c r="A28" s="1" t="s">
        <v>18</v>
      </c>
      <c r="B28" s="1" t="s">
        <v>172</v>
      </c>
      <c r="C28" s="1" t="s">
        <v>189</v>
      </c>
      <c r="D28" s="1" t="s">
        <v>365</v>
      </c>
      <c r="E28" s="1" t="s">
        <v>554</v>
      </c>
      <c r="F28" s="4">
        <f>'Rozpočet - vybrané sloupce'!BA27</f>
        <v>78</v>
      </c>
      <c r="G28" s="6">
        <f>'Rozpočet - vybrané sloupce'!BF27</f>
        <v>0</v>
      </c>
      <c r="H28" s="4">
        <f t="shared" si="0"/>
        <v>0</v>
      </c>
      <c r="I28" s="4">
        <f t="shared" si="1"/>
        <v>0</v>
      </c>
      <c r="J28" s="4">
        <f t="shared" si="2"/>
        <v>0</v>
      </c>
      <c r="K28" s="4">
        <v>0.0392</v>
      </c>
      <c r="L28" s="4">
        <f t="shared" si="3"/>
        <v>3.0576</v>
      </c>
      <c r="M28" s="72" t="s">
        <v>643</v>
      </c>
      <c r="P28" s="23">
        <f t="shared" si="4"/>
        <v>0</v>
      </c>
      <c r="R28" s="23">
        <f t="shared" si="5"/>
        <v>0</v>
      </c>
      <c r="S28" s="23">
        <f t="shared" si="6"/>
        <v>0</v>
      </c>
      <c r="T28" s="23">
        <f t="shared" si="7"/>
        <v>0</v>
      </c>
      <c r="U28" s="23">
        <f t="shared" si="8"/>
        <v>0</v>
      </c>
      <c r="V28" s="23">
        <f t="shared" si="9"/>
        <v>0</v>
      </c>
      <c r="W28" s="23">
        <f t="shared" si="10"/>
        <v>0</v>
      </c>
      <c r="X28" s="23">
        <f t="shared" si="11"/>
        <v>0</v>
      </c>
      <c r="Y28" s="67" t="s">
        <v>172</v>
      </c>
      <c r="Z28" s="4">
        <f t="shared" si="12"/>
        <v>0</v>
      </c>
      <c r="AA28" s="4">
        <f t="shared" si="13"/>
        <v>0</v>
      </c>
      <c r="AB28" s="4">
        <f t="shared" si="14"/>
        <v>0</v>
      </c>
      <c r="AD28" s="23">
        <v>21</v>
      </c>
      <c r="AE28" s="23">
        <f>G28*0.316614210441638</f>
        <v>0</v>
      </c>
      <c r="AF28" s="23">
        <f>G28*(1-0.316614210441638)</f>
        <v>0</v>
      </c>
      <c r="AG28" s="72" t="s">
        <v>7</v>
      </c>
      <c r="AM28" s="23">
        <f t="shared" si="15"/>
        <v>0</v>
      </c>
      <c r="AN28" s="23">
        <f t="shared" si="16"/>
        <v>0</v>
      </c>
      <c r="AO28" s="75" t="s">
        <v>657</v>
      </c>
      <c r="AP28" s="75" t="s">
        <v>688</v>
      </c>
      <c r="AQ28" s="67" t="s">
        <v>709</v>
      </c>
      <c r="AS28" s="23">
        <f t="shared" si="17"/>
        <v>0</v>
      </c>
      <c r="AT28" s="23">
        <f t="shared" si="18"/>
        <v>0</v>
      </c>
      <c r="AU28" s="23">
        <v>0</v>
      </c>
      <c r="AV28" s="23">
        <f t="shared" si="19"/>
        <v>3.0576</v>
      </c>
    </row>
    <row r="29" spans="1:48" ht="12.75">
      <c r="A29" s="1" t="s">
        <v>19</v>
      </c>
      <c r="B29" s="1" t="s">
        <v>172</v>
      </c>
      <c r="C29" s="1" t="s">
        <v>190</v>
      </c>
      <c r="D29" s="1" t="s">
        <v>366</v>
      </c>
      <c r="E29" s="1" t="s">
        <v>554</v>
      </c>
      <c r="F29" s="4">
        <f>'Rozpočet - vybrané sloupce'!BA28</f>
        <v>78</v>
      </c>
      <c r="G29" s="6">
        <f>'Rozpočet - vybrané sloupce'!BF28</f>
        <v>0</v>
      </c>
      <c r="H29" s="4">
        <f t="shared" si="0"/>
        <v>0</v>
      </c>
      <c r="I29" s="4">
        <f t="shared" si="1"/>
        <v>0</v>
      </c>
      <c r="J29" s="4">
        <f t="shared" si="2"/>
        <v>0</v>
      </c>
      <c r="K29" s="4">
        <v>0</v>
      </c>
      <c r="L29" s="4">
        <f t="shared" si="3"/>
        <v>0</v>
      </c>
      <c r="M29" s="72" t="s">
        <v>643</v>
      </c>
      <c r="P29" s="23">
        <f t="shared" si="4"/>
        <v>0</v>
      </c>
      <c r="R29" s="23">
        <f t="shared" si="5"/>
        <v>0</v>
      </c>
      <c r="S29" s="23">
        <f t="shared" si="6"/>
        <v>0</v>
      </c>
      <c r="T29" s="23">
        <f t="shared" si="7"/>
        <v>0</v>
      </c>
      <c r="U29" s="23">
        <f t="shared" si="8"/>
        <v>0</v>
      </c>
      <c r="V29" s="23">
        <f t="shared" si="9"/>
        <v>0</v>
      </c>
      <c r="W29" s="23">
        <f t="shared" si="10"/>
        <v>0</v>
      </c>
      <c r="X29" s="23">
        <f t="shared" si="11"/>
        <v>0</v>
      </c>
      <c r="Y29" s="67" t="s">
        <v>172</v>
      </c>
      <c r="Z29" s="4">
        <f t="shared" si="12"/>
        <v>0</v>
      </c>
      <c r="AA29" s="4">
        <f t="shared" si="13"/>
        <v>0</v>
      </c>
      <c r="AB29" s="4">
        <f t="shared" si="14"/>
        <v>0</v>
      </c>
      <c r="AD29" s="23">
        <v>21</v>
      </c>
      <c r="AE29" s="23">
        <f>G29*0</f>
        <v>0</v>
      </c>
      <c r="AF29" s="23">
        <f>G29*(1-0)</f>
        <v>0</v>
      </c>
      <c r="AG29" s="72" t="s">
        <v>7</v>
      </c>
      <c r="AM29" s="23">
        <f t="shared" si="15"/>
        <v>0</v>
      </c>
      <c r="AN29" s="23">
        <f t="shared" si="16"/>
        <v>0</v>
      </c>
      <c r="AO29" s="75" t="s">
        <v>657</v>
      </c>
      <c r="AP29" s="75" t="s">
        <v>688</v>
      </c>
      <c r="AQ29" s="67" t="s">
        <v>709</v>
      </c>
      <c r="AS29" s="23">
        <f t="shared" si="17"/>
        <v>0</v>
      </c>
      <c r="AT29" s="23">
        <f t="shared" si="18"/>
        <v>0</v>
      </c>
      <c r="AU29" s="23">
        <v>0</v>
      </c>
      <c r="AV29" s="23">
        <f t="shared" si="19"/>
        <v>0</v>
      </c>
    </row>
    <row r="30" spans="1:48" ht="12.75">
      <c r="A30" s="1" t="s">
        <v>20</v>
      </c>
      <c r="B30" s="1" t="s">
        <v>172</v>
      </c>
      <c r="C30" s="1" t="s">
        <v>191</v>
      </c>
      <c r="D30" s="1" t="s">
        <v>367</v>
      </c>
      <c r="E30" s="1" t="s">
        <v>554</v>
      </c>
      <c r="F30" s="4">
        <f>'Rozpočet - vybrané sloupce'!BA29</f>
        <v>49.09</v>
      </c>
      <c r="G30" s="6">
        <f>'Rozpočet - vybrané sloupce'!BF29</f>
        <v>0</v>
      </c>
      <c r="H30" s="4">
        <f t="shared" si="0"/>
        <v>0</v>
      </c>
      <c r="I30" s="4">
        <f t="shared" si="1"/>
        <v>0</v>
      </c>
      <c r="J30" s="4">
        <f t="shared" si="2"/>
        <v>0</v>
      </c>
      <c r="K30" s="4">
        <v>0.03916</v>
      </c>
      <c r="L30" s="4">
        <f t="shared" si="3"/>
        <v>1.9223644000000002</v>
      </c>
      <c r="M30" s="72" t="s">
        <v>643</v>
      </c>
      <c r="P30" s="23">
        <f t="shared" si="4"/>
        <v>0</v>
      </c>
      <c r="R30" s="23">
        <f t="shared" si="5"/>
        <v>0</v>
      </c>
      <c r="S30" s="23">
        <f t="shared" si="6"/>
        <v>0</v>
      </c>
      <c r="T30" s="23">
        <f t="shared" si="7"/>
        <v>0</v>
      </c>
      <c r="U30" s="23">
        <f t="shared" si="8"/>
        <v>0</v>
      </c>
      <c r="V30" s="23">
        <f t="shared" si="9"/>
        <v>0</v>
      </c>
      <c r="W30" s="23">
        <f t="shared" si="10"/>
        <v>0</v>
      </c>
      <c r="X30" s="23">
        <f t="shared" si="11"/>
        <v>0</v>
      </c>
      <c r="Y30" s="67" t="s">
        <v>172</v>
      </c>
      <c r="Z30" s="4">
        <f t="shared" si="12"/>
        <v>0</v>
      </c>
      <c r="AA30" s="4">
        <f t="shared" si="13"/>
        <v>0</v>
      </c>
      <c r="AB30" s="4">
        <f t="shared" si="14"/>
        <v>0</v>
      </c>
      <c r="AD30" s="23">
        <v>21</v>
      </c>
      <c r="AE30" s="23">
        <f>G30*0.300888362079296</f>
        <v>0</v>
      </c>
      <c r="AF30" s="23">
        <f>G30*(1-0.300888362079296)</f>
        <v>0</v>
      </c>
      <c r="AG30" s="72" t="s">
        <v>7</v>
      </c>
      <c r="AM30" s="23">
        <f t="shared" si="15"/>
        <v>0</v>
      </c>
      <c r="AN30" s="23">
        <f t="shared" si="16"/>
        <v>0</v>
      </c>
      <c r="AO30" s="75" t="s">
        <v>657</v>
      </c>
      <c r="AP30" s="75" t="s">
        <v>688</v>
      </c>
      <c r="AQ30" s="67" t="s">
        <v>709</v>
      </c>
      <c r="AS30" s="23">
        <f t="shared" si="17"/>
        <v>0</v>
      </c>
      <c r="AT30" s="23">
        <f t="shared" si="18"/>
        <v>0</v>
      </c>
      <c r="AU30" s="23">
        <v>0</v>
      </c>
      <c r="AV30" s="23">
        <f t="shared" si="19"/>
        <v>1.9223644000000002</v>
      </c>
    </row>
    <row r="31" spans="1:48" ht="12.75">
      <c r="A31" s="1" t="s">
        <v>21</v>
      </c>
      <c r="B31" s="1" t="s">
        <v>172</v>
      </c>
      <c r="C31" s="1" t="s">
        <v>192</v>
      </c>
      <c r="D31" s="1" t="s">
        <v>368</v>
      </c>
      <c r="E31" s="1" t="s">
        <v>554</v>
      </c>
      <c r="F31" s="4">
        <f>'Rozpočet - vybrané sloupce'!BA30</f>
        <v>49.09</v>
      </c>
      <c r="G31" s="6">
        <f>'Rozpočet - vybrané sloupce'!BF30</f>
        <v>0</v>
      </c>
      <c r="H31" s="4">
        <f t="shared" si="0"/>
        <v>0</v>
      </c>
      <c r="I31" s="4">
        <f t="shared" si="1"/>
        <v>0</v>
      </c>
      <c r="J31" s="4">
        <f t="shared" si="2"/>
        <v>0</v>
      </c>
      <c r="K31" s="4">
        <v>0</v>
      </c>
      <c r="L31" s="4">
        <f t="shared" si="3"/>
        <v>0</v>
      </c>
      <c r="M31" s="72" t="s">
        <v>643</v>
      </c>
      <c r="P31" s="23">
        <f t="shared" si="4"/>
        <v>0</v>
      </c>
      <c r="R31" s="23">
        <f t="shared" si="5"/>
        <v>0</v>
      </c>
      <c r="S31" s="23">
        <f t="shared" si="6"/>
        <v>0</v>
      </c>
      <c r="T31" s="23">
        <f t="shared" si="7"/>
        <v>0</v>
      </c>
      <c r="U31" s="23">
        <f t="shared" si="8"/>
        <v>0</v>
      </c>
      <c r="V31" s="23">
        <f t="shared" si="9"/>
        <v>0</v>
      </c>
      <c r="W31" s="23">
        <f t="shared" si="10"/>
        <v>0</v>
      </c>
      <c r="X31" s="23">
        <f t="shared" si="11"/>
        <v>0</v>
      </c>
      <c r="Y31" s="67" t="s">
        <v>172</v>
      </c>
      <c r="Z31" s="4">
        <f t="shared" si="12"/>
        <v>0</v>
      </c>
      <c r="AA31" s="4">
        <f t="shared" si="13"/>
        <v>0</v>
      </c>
      <c r="AB31" s="4">
        <f t="shared" si="14"/>
        <v>0</v>
      </c>
      <c r="AD31" s="23">
        <v>21</v>
      </c>
      <c r="AE31" s="23">
        <f>G31*0</f>
        <v>0</v>
      </c>
      <c r="AF31" s="23">
        <f>G31*(1-0)</f>
        <v>0</v>
      </c>
      <c r="AG31" s="72" t="s">
        <v>7</v>
      </c>
      <c r="AM31" s="23">
        <f t="shared" si="15"/>
        <v>0</v>
      </c>
      <c r="AN31" s="23">
        <f t="shared" si="16"/>
        <v>0</v>
      </c>
      <c r="AO31" s="75" t="s">
        <v>657</v>
      </c>
      <c r="AP31" s="75" t="s">
        <v>688</v>
      </c>
      <c r="AQ31" s="67" t="s">
        <v>709</v>
      </c>
      <c r="AS31" s="23">
        <f t="shared" si="17"/>
        <v>0</v>
      </c>
      <c r="AT31" s="23">
        <f t="shared" si="18"/>
        <v>0</v>
      </c>
      <c r="AU31" s="23">
        <v>0</v>
      </c>
      <c r="AV31" s="23">
        <f t="shared" si="19"/>
        <v>0</v>
      </c>
    </row>
    <row r="32" spans="1:48" ht="12.75">
      <c r="A32" s="1" t="s">
        <v>22</v>
      </c>
      <c r="B32" s="1" t="s">
        <v>172</v>
      </c>
      <c r="C32" s="1" t="s">
        <v>193</v>
      </c>
      <c r="D32" s="1" t="s">
        <v>369</v>
      </c>
      <c r="E32" s="1" t="s">
        <v>552</v>
      </c>
      <c r="F32" s="4">
        <f>'Rozpočet - vybrané sloupce'!BA31</f>
        <v>101.03</v>
      </c>
      <c r="G32" s="6">
        <f>'Rozpočet - vybrané sloupce'!BF31</f>
        <v>0</v>
      </c>
      <c r="H32" s="4">
        <f t="shared" si="0"/>
        <v>0</v>
      </c>
      <c r="I32" s="4">
        <f t="shared" si="1"/>
        <v>0</v>
      </c>
      <c r="J32" s="4">
        <f t="shared" si="2"/>
        <v>0</v>
      </c>
      <c r="K32" s="4">
        <v>0</v>
      </c>
      <c r="L32" s="4">
        <f t="shared" si="3"/>
        <v>0</v>
      </c>
      <c r="M32" s="72" t="s">
        <v>643</v>
      </c>
      <c r="P32" s="23">
        <f t="shared" si="4"/>
        <v>0</v>
      </c>
      <c r="R32" s="23">
        <f t="shared" si="5"/>
        <v>0</v>
      </c>
      <c r="S32" s="23">
        <f t="shared" si="6"/>
        <v>0</v>
      </c>
      <c r="T32" s="23">
        <f t="shared" si="7"/>
        <v>0</v>
      </c>
      <c r="U32" s="23">
        <f t="shared" si="8"/>
        <v>0</v>
      </c>
      <c r="V32" s="23">
        <f t="shared" si="9"/>
        <v>0</v>
      </c>
      <c r="W32" s="23">
        <f t="shared" si="10"/>
        <v>0</v>
      </c>
      <c r="X32" s="23">
        <f t="shared" si="11"/>
        <v>0</v>
      </c>
      <c r="Y32" s="67" t="s">
        <v>172</v>
      </c>
      <c r="Z32" s="4">
        <f t="shared" si="12"/>
        <v>0</v>
      </c>
      <c r="AA32" s="4">
        <f t="shared" si="13"/>
        <v>0</v>
      </c>
      <c r="AB32" s="4">
        <f t="shared" si="14"/>
        <v>0</v>
      </c>
      <c r="AD32" s="23">
        <v>21</v>
      </c>
      <c r="AE32" s="23">
        <f>G32*0</f>
        <v>0</v>
      </c>
      <c r="AF32" s="23">
        <f>G32*(1-0)</f>
        <v>0</v>
      </c>
      <c r="AG32" s="72" t="s">
        <v>7</v>
      </c>
      <c r="AM32" s="23">
        <f t="shared" si="15"/>
        <v>0</v>
      </c>
      <c r="AN32" s="23">
        <f t="shared" si="16"/>
        <v>0</v>
      </c>
      <c r="AO32" s="75" t="s">
        <v>657</v>
      </c>
      <c r="AP32" s="75" t="s">
        <v>688</v>
      </c>
      <c r="AQ32" s="67" t="s">
        <v>709</v>
      </c>
      <c r="AS32" s="23">
        <f t="shared" si="17"/>
        <v>0</v>
      </c>
      <c r="AT32" s="23">
        <f t="shared" si="18"/>
        <v>0</v>
      </c>
      <c r="AU32" s="23">
        <v>0</v>
      </c>
      <c r="AV32" s="23">
        <f t="shared" si="19"/>
        <v>0</v>
      </c>
    </row>
    <row r="33" spans="1:48" ht="12.75">
      <c r="A33" s="1" t="s">
        <v>23</v>
      </c>
      <c r="B33" s="1" t="s">
        <v>172</v>
      </c>
      <c r="C33" s="1" t="s">
        <v>194</v>
      </c>
      <c r="D33" s="1" t="s">
        <v>370</v>
      </c>
      <c r="E33" s="1" t="s">
        <v>555</v>
      </c>
      <c r="F33" s="4">
        <f>'Rozpočet - vybrané sloupce'!BA32</f>
        <v>10</v>
      </c>
      <c r="G33" s="6">
        <f>'Rozpočet - vybrané sloupce'!BF32</f>
        <v>0</v>
      </c>
      <c r="H33" s="4">
        <f t="shared" si="0"/>
        <v>0</v>
      </c>
      <c r="I33" s="4">
        <f t="shared" si="1"/>
        <v>0</v>
      </c>
      <c r="J33" s="4">
        <f t="shared" si="2"/>
        <v>0</v>
      </c>
      <c r="K33" s="4">
        <v>0</v>
      </c>
      <c r="L33" s="4">
        <f t="shared" si="3"/>
        <v>0</v>
      </c>
      <c r="M33" s="72" t="s">
        <v>643</v>
      </c>
      <c r="P33" s="23">
        <f t="shared" si="4"/>
        <v>0</v>
      </c>
      <c r="R33" s="23">
        <f t="shared" si="5"/>
        <v>0</v>
      </c>
      <c r="S33" s="23">
        <f t="shared" si="6"/>
        <v>0</v>
      </c>
      <c r="T33" s="23">
        <f t="shared" si="7"/>
        <v>0</v>
      </c>
      <c r="U33" s="23">
        <f t="shared" si="8"/>
        <v>0</v>
      </c>
      <c r="V33" s="23">
        <f t="shared" si="9"/>
        <v>0</v>
      </c>
      <c r="W33" s="23">
        <f t="shared" si="10"/>
        <v>0</v>
      </c>
      <c r="X33" s="23">
        <f t="shared" si="11"/>
        <v>0</v>
      </c>
      <c r="Y33" s="67" t="s">
        <v>172</v>
      </c>
      <c r="Z33" s="4">
        <f t="shared" si="12"/>
        <v>0</v>
      </c>
      <c r="AA33" s="4">
        <f t="shared" si="13"/>
        <v>0</v>
      </c>
      <c r="AB33" s="4">
        <f t="shared" si="14"/>
        <v>0</v>
      </c>
      <c r="AD33" s="23">
        <v>21</v>
      </c>
      <c r="AE33" s="23">
        <f>G33*0</f>
        <v>0</v>
      </c>
      <c r="AF33" s="23">
        <f>G33*(1-0)</f>
        <v>0</v>
      </c>
      <c r="AG33" s="72" t="s">
        <v>7</v>
      </c>
      <c r="AM33" s="23">
        <f t="shared" si="15"/>
        <v>0</v>
      </c>
      <c r="AN33" s="23">
        <f t="shared" si="16"/>
        <v>0</v>
      </c>
      <c r="AO33" s="75" t="s">
        <v>657</v>
      </c>
      <c r="AP33" s="75" t="s">
        <v>688</v>
      </c>
      <c r="AQ33" s="67" t="s">
        <v>709</v>
      </c>
      <c r="AS33" s="23">
        <f t="shared" si="17"/>
        <v>0</v>
      </c>
      <c r="AT33" s="23">
        <f t="shared" si="18"/>
        <v>0</v>
      </c>
      <c r="AU33" s="23">
        <v>0</v>
      </c>
      <c r="AV33" s="23">
        <f t="shared" si="19"/>
        <v>0</v>
      </c>
    </row>
    <row r="34" spans="1:48" ht="12.75">
      <c r="A34" s="1" t="s">
        <v>24</v>
      </c>
      <c r="B34" s="1" t="s">
        <v>172</v>
      </c>
      <c r="C34" s="1" t="s">
        <v>195</v>
      </c>
      <c r="D34" s="1" t="s">
        <v>371</v>
      </c>
      <c r="E34" s="1" t="s">
        <v>555</v>
      </c>
      <c r="F34" s="4">
        <f>'Rozpočet - vybrané sloupce'!BA33</f>
        <v>3</v>
      </c>
      <c r="G34" s="6">
        <f>'Rozpočet - vybrané sloupce'!BF33</f>
        <v>0</v>
      </c>
      <c r="H34" s="4">
        <f t="shared" si="0"/>
        <v>0</v>
      </c>
      <c r="I34" s="4">
        <f t="shared" si="1"/>
        <v>0</v>
      </c>
      <c r="J34" s="4">
        <f t="shared" si="2"/>
        <v>0</v>
      </c>
      <c r="K34" s="4">
        <v>0</v>
      </c>
      <c r="L34" s="4">
        <f t="shared" si="3"/>
        <v>0</v>
      </c>
      <c r="M34" s="72" t="s">
        <v>643</v>
      </c>
      <c r="P34" s="23">
        <f t="shared" si="4"/>
        <v>0</v>
      </c>
      <c r="R34" s="23">
        <f t="shared" si="5"/>
        <v>0</v>
      </c>
      <c r="S34" s="23">
        <f t="shared" si="6"/>
        <v>0</v>
      </c>
      <c r="T34" s="23">
        <f t="shared" si="7"/>
        <v>0</v>
      </c>
      <c r="U34" s="23">
        <f t="shared" si="8"/>
        <v>0</v>
      </c>
      <c r="V34" s="23">
        <f t="shared" si="9"/>
        <v>0</v>
      </c>
      <c r="W34" s="23">
        <f t="shared" si="10"/>
        <v>0</v>
      </c>
      <c r="X34" s="23">
        <f t="shared" si="11"/>
        <v>0</v>
      </c>
      <c r="Y34" s="67" t="s">
        <v>172</v>
      </c>
      <c r="Z34" s="4">
        <f t="shared" si="12"/>
        <v>0</v>
      </c>
      <c r="AA34" s="4">
        <f t="shared" si="13"/>
        <v>0</v>
      </c>
      <c r="AB34" s="4">
        <f t="shared" si="14"/>
        <v>0</v>
      </c>
      <c r="AD34" s="23">
        <v>21</v>
      </c>
      <c r="AE34" s="23">
        <f>G34*0</f>
        <v>0</v>
      </c>
      <c r="AF34" s="23">
        <f>G34*(1-0)</f>
        <v>0</v>
      </c>
      <c r="AG34" s="72" t="s">
        <v>7</v>
      </c>
      <c r="AM34" s="23">
        <f t="shared" si="15"/>
        <v>0</v>
      </c>
      <c r="AN34" s="23">
        <f t="shared" si="16"/>
        <v>0</v>
      </c>
      <c r="AO34" s="75" t="s">
        <v>657</v>
      </c>
      <c r="AP34" s="75" t="s">
        <v>688</v>
      </c>
      <c r="AQ34" s="67" t="s">
        <v>709</v>
      </c>
      <c r="AS34" s="23">
        <f t="shared" si="17"/>
        <v>0</v>
      </c>
      <c r="AT34" s="23">
        <f t="shared" si="18"/>
        <v>0</v>
      </c>
      <c r="AU34" s="23">
        <v>0</v>
      </c>
      <c r="AV34" s="23">
        <f t="shared" si="19"/>
        <v>0</v>
      </c>
    </row>
    <row r="35" spans="1:48" ht="12.75">
      <c r="A35" s="1" t="s">
        <v>25</v>
      </c>
      <c r="B35" s="1" t="s">
        <v>172</v>
      </c>
      <c r="C35" s="1" t="s">
        <v>196</v>
      </c>
      <c r="D35" s="1" t="s">
        <v>372</v>
      </c>
      <c r="E35" s="1" t="s">
        <v>552</v>
      </c>
      <c r="F35" s="4">
        <f>'Rozpočet - vybrané sloupce'!BA34</f>
        <v>101.03</v>
      </c>
      <c r="G35" s="6">
        <f>'Rozpočet - vybrané sloupce'!BF34</f>
        <v>0</v>
      </c>
      <c r="H35" s="4">
        <f t="shared" si="0"/>
        <v>0</v>
      </c>
      <c r="I35" s="4">
        <f t="shared" si="1"/>
        <v>0</v>
      </c>
      <c r="J35" s="4">
        <f t="shared" si="2"/>
        <v>0</v>
      </c>
      <c r="K35" s="4">
        <v>2.525</v>
      </c>
      <c r="L35" s="4">
        <f t="shared" si="3"/>
        <v>255.10075</v>
      </c>
      <c r="M35" s="72" t="s">
        <v>643</v>
      </c>
      <c r="P35" s="23">
        <f t="shared" si="4"/>
        <v>0</v>
      </c>
      <c r="R35" s="23">
        <f t="shared" si="5"/>
        <v>0</v>
      </c>
      <c r="S35" s="23">
        <f t="shared" si="6"/>
        <v>0</v>
      </c>
      <c r="T35" s="23">
        <f t="shared" si="7"/>
        <v>0</v>
      </c>
      <c r="U35" s="23">
        <f t="shared" si="8"/>
        <v>0</v>
      </c>
      <c r="V35" s="23">
        <f t="shared" si="9"/>
        <v>0</v>
      </c>
      <c r="W35" s="23">
        <f t="shared" si="10"/>
        <v>0</v>
      </c>
      <c r="X35" s="23">
        <f t="shared" si="11"/>
        <v>0</v>
      </c>
      <c r="Y35" s="67" t="s">
        <v>172</v>
      </c>
      <c r="Z35" s="4">
        <f t="shared" si="12"/>
        <v>0</v>
      </c>
      <c r="AA35" s="4">
        <f t="shared" si="13"/>
        <v>0</v>
      </c>
      <c r="AB35" s="4">
        <f t="shared" si="14"/>
        <v>0</v>
      </c>
      <c r="AD35" s="23">
        <v>21</v>
      </c>
      <c r="AE35" s="23">
        <f>G35*0.897784809608134</f>
        <v>0</v>
      </c>
      <c r="AF35" s="23">
        <f>G35*(1-0.897784809608134)</f>
        <v>0</v>
      </c>
      <c r="AG35" s="72" t="s">
        <v>7</v>
      </c>
      <c r="AM35" s="23">
        <f t="shared" si="15"/>
        <v>0</v>
      </c>
      <c r="AN35" s="23">
        <f t="shared" si="16"/>
        <v>0</v>
      </c>
      <c r="AO35" s="75" t="s">
        <v>657</v>
      </c>
      <c r="AP35" s="75" t="s">
        <v>688</v>
      </c>
      <c r="AQ35" s="67" t="s">
        <v>709</v>
      </c>
      <c r="AS35" s="23">
        <f t="shared" si="17"/>
        <v>0</v>
      </c>
      <c r="AT35" s="23">
        <f t="shared" si="18"/>
        <v>0</v>
      </c>
      <c r="AU35" s="23">
        <v>0</v>
      </c>
      <c r="AV35" s="23">
        <f t="shared" si="19"/>
        <v>255.10075</v>
      </c>
    </row>
    <row r="36" spans="1:48" ht="12.75">
      <c r="A36" s="1" t="s">
        <v>26</v>
      </c>
      <c r="B36" s="1" t="s">
        <v>172</v>
      </c>
      <c r="C36" s="1" t="s">
        <v>197</v>
      </c>
      <c r="D36" s="1" t="s">
        <v>373</v>
      </c>
      <c r="E36" s="1" t="s">
        <v>552</v>
      </c>
      <c r="F36" s="4">
        <f>'Rozpočet - vybrané sloupce'!BA35</f>
        <v>153.75</v>
      </c>
      <c r="G36" s="6">
        <f>'Rozpočet - vybrané sloupce'!BF35</f>
        <v>0</v>
      </c>
      <c r="H36" s="4">
        <f t="shared" si="0"/>
        <v>0</v>
      </c>
      <c r="I36" s="4">
        <f t="shared" si="1"/>
        <v>0</v>
      </c>
      <c r="J36" s="4">
        <f t="shared" si="2"/>
        <v>0</v>
      </c>
      <c r="K36" s="4">
        <v>2.525</v>
      </c>
      <c r="L36" s="4">
        <f t="shared" si="3"/>
        <v>388.21875</v>
      </c>
      <c r="M36" s="72" t="s">
        <v>643</v>
      </c>
      <c r="P36" s="23">
        <f t="shared" si="4"/>
        <v>0</v>
      </c>
      <c r="R36" s="23">
        <f t="shared" si="5"/>
        <v>0</v>
      </c>
      <c r="S36" s="23">
        <f t="shared" si="6"/>
        <v>0</v>
      </c>
      <c r="T36" s="23">
        <f t="shared" si="7"/>
        <v>0</v>
      </c>
      <c r="U36" s="23">
        <f t="shared" si="8"/>
        <v>0</v>
      </c>
      <c r="V36" s="23">
        <f t="shared" si="9"/>
        <v>0</v>
      </c>
      <c r="W36" s="23">
        <f t="shared" si="10"/>
        <v>0</v>
      </c>
      <c r="X36" s="23">
        <f t="shared" si="11"/>
        <v>0</v>
      </c>
      <c r="Y36" s="67" t="s">
        <v>172</v>
      </c>
      <c r="Z36" s="4">
        <f t="shared" si="12"/>
        <v>0</v>
      </c>
      <c r="AA36" s="4">
        <f t="shared" si="13"/>
        <v>0</v>
      </c>
      <c r="AB36" s="4">
        <f t="shared" si="14"/>
        <v>0</v>
      </c>
      <c r="AD36" s="23">
        <v>21</v>
      </c>
      <c r="AE36" s="23">
        <f>G36*0.897784871414783</f>
        <v>0</v>
      </c>
      <c r="AF36" s="23">
        <f>G36*(1-0.897784871414783)</f>
        <v>0</v>
      </c>
      <c r="AG36" s="72" t="s">
        <v>7</v>
      </c>
      <c r="AM36" s="23">
        <f t="shared" si="15"/>
        <v>0</v>
      </c>
      <c r="AN36" s="23">
        <f t="shared" si="16"/>
        <v>0</v>
      </c>
      <c r="AO36" s="75" t="s">
        <v>657</v>
      </c>
      <c r="AP36" s="75" t="s">
        <v>688</v>
      </c>
      <c r="AQ36" s="67" t="s">
        <v>709</v>
      </c>
      <c r="AS36" s="23">
        <f t="shared" si="17"/>
        <v>0</v>
      </c>
      <c r="AT36" s="23">
        <f t="shared" si="18"/>
        <v>0</v>
      </c>
      <c r="AU36" s="23">
        <v>0</v>
      </c>
      <c r="AV36" s="23">
        <f t="shared" si="19"/>
        <v>388.21875</v>
      </c>
    </row>
    <row r="37" spans="1:48" ht="12.75">
      <c r="A37" s="1" t="s">
        <v>27</v>
      </c>
      <c r="B37" s="1" t="s">
        <v>172</v>
      </c>
      <c r="C37" s="1" t="s">
        <v>198</v>
      </c>
      <c r="D37" s="1" t="s">
        <v>374</v>
      </c>
      <c r="E37" s="1" t="s">
        <v>552</v>
      </c>
      <c r="F37" s="4">
        <f>'Rozpočet - vybrané sloupce'!BA36</f>
        <v>15.78</v>
      </c>
      <c r="G37" s="6">
        <f>'Rozpočet - vybrané sloupce'!BF36</f>
        <v>0</v>
      </c>
      <c r="H37" s="4">
        <f t="shared" si="0"/>
        <v>0</v>
      </c>
      <c r="I37" s="4">
        <f t="shared" si="1"/>
        <v>0</v>
      </c>
      <c r="J37" s="4">
        <f t="shared" si="2"/>
        <v>0</v>
      </c>
      <c r="K37" s="4">
        <v>2.525</v>
      </c>
      <c r="L37" s="4">
        <f t="shared" si="3"/>
        <v>39.8445</v>
      </c>
      <c r="M37" s="72" t="s">
        <v>643</v>
      </c>
      <c r="P37" s="23">
        <f t="shared" si="4"/>
        <v>0</v>
      </c>
      <c r="R37" s="23">
        <f t="shared" si="5"/>
        <v>0</v>
      </c>
      <c r="S37" s="23">
        <f t="shared" si="6"/>
        <v>0</v>
      </c>
      <c r="T37" s="23">
        <f t="shared" si="7"/>
        <v>0</v>
      </c>
      <c r="U37" s="23">
        <f t="shared" si="8"/>
        <v>0</v>
      </c>
      <c r="V37" s="23">
        <f t="shared" si="9"/>
        <v>0</v>
      </c>
      <c r="W37" s="23">
        <f t="shared" si="10"/>
        <v>0</v>
      </c>
      <c r="X37" s="23">
        <f t="shared" si="11"/>
        <v>0</v>
      </c>
      <c r="Y37" s="67" t="s">
        <v>172</v>
      </c>
      <c r="Z37" s="4">
        <f t="shared" si="12"/>
        <v>0</v>
      </c>
      <c r="AA37" s="4">
        <f t="shared" si="13"/>
        <v>0</v>
      </c>
      <c r="AB37" s="4">
        <f t="shared" si="14"/>
        <v>0</v>
      </c>
      <c r="AD37" s="23">
        <v>21</v>
      </c>
      <c r="AE37" s="23">
        <f>G37*0.898080575043897</f>
        <v>0</v>
      </c>
      <c r="AF37" s="23">
        <f>G37*(1-0.898080575043897)</f>
        <v>0</v>
      </c>
      <c r="AG37" s="72" t="s">
        <v>7</v>
      </c>
      <c r="AM37" s="23">
        <f t="shared" si="15"/>
        <v>0</v>
      </c>
      <c r="AN37" s="23">
        <f t="shared" si="16"/>
        <v>0</v>
      </c>
      <c r="AO37" s="75" t="s">
        <v>657</v>
      </c>
      <c r="AP37" s="75" t="s">
        <v>688</v>
      </c>
      <c r="AQ37" s="67" t="s">
        <v>709</v>
      </c>
      <c r="AS37" s="23">
        <f t="shared" si="17"/>
        <v>0</v>
      </c>
      <c r="AT37" s="23">
        <f t="shared" si="18"/>
        <v>0</v>
      </c>
      <c r="AU37" s="23">
        <v>0</v>
      </c>
      <c r="AV37" s="23">
        <f t="shared" si="19"/>
        <v>39.8445</v>
      </c>
    </row>
    <row r="38" spans="1:37" ht="12.75">
      <c r="A38" s="52"/>
      <c r="B38" s="58" t="s">
        <v>172</v>
      </c>
      <c r="C38" s="58" t="s">
        <v>37</v>
      </c>
      <c r="D38" s="58" t="s">
        <v>375</v>
      </c>
      <c r="E38" s="52" t="s">
        <v>6</v>
      </c>
      <c r="F38" s="52" t="s">
        <v>6</v>
      </c>
      <c r="G38" s="64" t="s">
        <v>6</v>
      </c>
      <c r="H38" s="9">
        <f>SUM(H39:H39)</f>
        <v>0</v>
      </c>
      <c r="I38" s="9">
        <f>SUM(I39:I39)</f>
        <v>0</v>
      </c>
      <c r="J38" s="9">
        <f>H38+I38</f>
        <v>0</v>
      </c>
      <c r="K38" s="67"/>
      <c r="L38" s="9">
        <f>SUM(L39:L39)</f>
        <v>0.2714256</v>
      </c>
      <c r="M38" s="67"/>
      <c r="Y38" s="67" t="s">
        <v>172</v>
      </c>
      <c r="AI38" s="9">
        <f>SUM(Z39:Z39)</f>
        <v>0</v>
      </c>
      <c r="AJ38" s="9">
        <f>SUM(AA39:AA39)</f>
        <v>0</v>
      </c>
      <c r="AK38" s="9">
        <f>SUM(AB39:AB39)</f>
        <v>0</v>
      </c>
    </row>
    <row r="39" spans="1:48" ht="12.75">
      <c r="A39" s="1" t="s">
        <v>28</v>
      </c>
      <c r="B39" s="1" t="s">
        <v>172</v>
      </c>
      <c r="C39" s="1" t="s">
        <v>199</v>
      </c>
      <c r="D39" s="1" t="s">
        <v>376</v>
      </c>
      <c r="E39" s="1" t="s">
        <v>554</v>
      </c>
      <c r="F39" s="4">
        <f>'Rozpočet - vybrané sloupce'!BA38</f>
        <v>37.08</v>
      </c>
      <c r="G39" s="6">
        <f>'Rozpočet - vybrané sloupce'!BF38</f>
        <v>0</v>
      </c>
      <c r="H39" s="4">
        <f>F39*AE39</f>
        <v>0</v>
      </c>
      <c r="I39" s="4">
        <f>J39-H39</f>
        <v>0</v>
      </c>
      <c r="J39" s="4">
        <f>F39*G39</f>
        <v>0</v>
      </c>
      <c r="K39" s="4">
        <v>0.00732</v>
      </c>
      <c r="L39" s="4">
        <f>F39*K39</f>
        <v>0.2714256</v>
      </c>
      <c r="M39" s="72" t="s">
        <v>643</v>
      </c>
      <c r="P39" s="23">
        <f>IF(AG39="5",J39,0)</f>
        <v>0</v>
      </c>
      <c r="R39" s="23">
        <f>IF(AG39="1",H39,0)</f>
        <v>0</v>
      </c>
      <c r="S39" s="23">
        <f>IF(AG39="1",I39,0)</f>
        <v>0</v>
      </c>
      <c r="T39" s="23">
        <f>IF(AG39="7",H39,0)</f>
        <v>0</v>
      </c>
      <c r="U39" s="23">
        <f>IF(AG39="7",I39,0)</f>
        <v>0</v>
      </c>
      <c r="V39" s="23">
        <f>IF(AG39="2",H39,0)</f>
        <v>0</v>
      </c>
      <c r="W39" s="23">
        <f>IF(AG39="2",I39,0)</f>
        <v>0</v>
      </c>
      <c r="X39" s="23">
        <f>IF(AG39="0",J39,0)</f>
        <v>0</v>
      </c>
      <c r="Y39" s="67" t="s">
        <v>172</v>
      </c>
      <c r="Z39" s="4">
        <f>IF(AD39=0,J39,0)</f>
        <v>0</v>
      </c>
      <c r="AA39" s="4">
        <f>IF(AD39=15,J39,0)</f>
        <v>0</v>
      </c>
      <c r="AB39" s="4">
        <f>IF(AD39=21,J39,0)</f>
        <v>0</v>
      </c>
      <c r="AD39" s="23">
        <v>21</v>
      </c>
      <c r="AE39" s="23">
        <f>G39*0.637459649889396</f>
        <v>0</v>
      </c>
      <c r="AF39" s="23">
        <f>G39*(1-0.637459649889396)</f>
        <v>0</v>
      </c>
      <c r="AG39" s="72" t="s">
        <v>7</v>
      </c>
      <c r="AM39" s="23">
        <f>F39*AE39</f>
        <v>0</v>
      </c>
      <c r="AN39" s="23">
        <f>F39*AF39</f>
        <v>0</v>
      </c>
      <c r="AO39" s="75" t="s">
        <v>658</v>
      </c>
      <c r="AP39" s="75" t="s">
        <v>689</v>
      </c>
      <c r="AQ39" s="67" t="s">
        <v>709</v>
      </c>
      <c r="AS39" s="23">
        <f>AM39+AN39</f>
        <v>0</v>
      </c>
      <c r="AT39" s="23">
        <f>G39/(100-AU39)*100</f>
        <v>0</v>
      </c>
      <c r="AU39" s="23">
        <v>0</v>
      </c>
      <c r="AV39" s="23">
        <f>L39</f>
        <v>0.2714256</v>
      </c>
    </row>
    <row r="40" spans="1:37" ht="12.75">
      <c r="A40" s="52"/>
      <c r="B40" s="58" t="s">
        <v>172</v>
      </c>
      <c r="C40" s="58" t="s">
        <v>40</v>
      </c>
      <c r="D40" s="58" t="s">
        <v>377</v>
      </c>
      <c r="E40" s="52" t="s">
        <v>6</v>
      </c>
      <c r="F40" s="52" t="s">
        <v>6</v>
      </c>
      <c r="G40" s="64" t="s">
        <v>6</v>
      </c>
      <c r="H40" s="9">
        <f>SUM(H41:H44)</f>
        <v>0</v>
      </c>
      <c r="I40" s="9">
        <f>SUM(I41:I44)</f>
        <v>0</v>
      </c>
      <c r="J40" s="9">
        <f>H40+I40</f>
        <v>0</v>
      </c>
      <c r="K40" s="67"/>
      <c r="L40" s="9">
        <f>SUM(L41:L44)</f>
        <v>0</v>
      </c>
      <c r="M40" s="67"/>
      <c r="Y40" s="67" t="s">
        <v>172</v>
      </c>
      <c r="AI40" s="9">
        <f>SUM(Z41:Z44)</f>
        <v>0</v>
      </c>
      <c r="AJ40" s="9">
        <f>SUM(AA41:AA44)</f>
        <v>0</v>
      </c>
      <c r="AK40" s="9">
        <f>SUM(AB41:AB44)</f>
        <v>0</v>
      </c>
    </row>
    <row r="41" spans="1:48" ht="12.75">
      <c r="A41" s="1" t="s">
        <v>29</v>
      </c>
      <c r="B41" s="1" t="s">
        <v>172</v>
      </c>
      <c r="C41" s="1" t="s">
        <v>200</v>
      </c>
      <c r="D41" s="1" t="s">
        <v>378</v>
      </c>
      <c r="E41" s="1" t="s">
        <v>556</v>
      </c>
      <c r="F41" s="4">
        <f>'Rozpočet - vybrané sloupce'!BA40</f>
        <v>415.4</v>
      </c>
      <c r="G41" s="6">
        <f>'Rozpočet - vybrané sloupce'!BF40</f>
        <v>0</v>
      </c>
      <c r="H41" s="4">
        <f>F41*AE41</f>
        <v>0</v>
      </c>
      <c r="I41" s="4">
        <f>J41-H41</f>
        <v>0</v>
      </c>
      <c r="J41" s="4">
        <f>F41*G41</f>
        <v>0</v>
      </c>
      <c r="K41" s="4">
        <v>0</v>
      </c>
      <c r="L41" s="4">
        <f>F41*K41</f>
        <v>0</v>
      </c>
      <c r="M41" s="72" t="s">
        <v>643</v>
      </c>
      <c r="P41" s="23">
        <f>IF(AG41="5",J41,0)</f>
        <v>0</v>
      </c>
      <c r="R41" s="23">
        <f>IF(AG41="1",H41,0)</f>
        <v>0</v>
      </c>
      <c r="S41" s="23">
        <f>IF(AG41="1",I41,0)</f>
        <v>0</v>
      </c>
      <c r="T41" s="23">
        <f>IF(AG41="7",H41,0)</f>
        <v>0</v>
      </c>
      <c r="U41" s="23">
        <f>IF(AG41="7",I41,0)</f>
        <v>0</v>
      </c>
      <c r="V41" s="23">
        <f>IF(AG41="2",H41,0)</f>
        <v>0</v>
      </c>
      <c r="W41" s="23">
        <f>IF(AG41="2",I41,0)</f>
        <v>0</v>
      </c>
      <c r="X41" s="23">
        <f>IF(AG41="0",J41,0)</f>
        <v>0</v>
      </c>
      <c r="Y41" s="67" t="s">
        <v>172</v>
      </c>
      <c r="Z41" s="4">
        <f>IF(AD41=0,J41,0)</f>
        <v>0</v>
      </c>
      <c r="AA41" s="4">
        <f>IF(AD41=15,J41,0)</f>
        <v>0</v>
      </c>
      <c r="AB41" s="4">
        <f>IF(AD41=21,J41,0)</f>
        <v>0</v>
      </c>
      <c r="AD41" s="23">
        <v>21</v>
      </c>
      <c r="AE41" s="23">
        <f>G41*0</f>
        <v>0</v>
      </c>
      <c r="AF41" s="23">
        <f>G41*(1-0)</f>
        <v>0</v>
      </c>
      <c r="AG41" s="72" t="s">
        <v>7</v>
      </c>
      <c r="AM41" s="23">
        <f>F41*AE41</f>
        <v>0</v>
      </c>
      <c r="AN41" s="23">
        <f>F41*AF41</f>
        <v>0</v>
      </c>
      <c r="AO41" s="75" t="s">
        <v>659</v>
      </c>
      <c r="AP41" s="75" t="s">
        <v>689</v>
      </c>
      <c r="AQ41" s="67" t="s">
        <v>709</v>
      </c>
      <c r="AS41" s="23">
        <f>AM41+AN41</f>
        <v>0</v>
      </c>
      <c r="AT41" s="23">
        <f>G41/(100-AU41)*100</f>
        <v>0</v>
      </c>
      <c r="AU41" s="23">
        <v>0</v>
      </c>
      <c r="AV41" s="23">
        <f>L41</f>
        <v>0</v>
      </c>
    </row>
    <row r="42" spans="1:48" ht="12.75">
      <c r="A42" s="1" t="s">
        <v>30</v>
      </c>
      <c r="B42" s="1" t="s">
        <v>172</v>
      </c>
      <c r="C42" s="1" t="s">
        <v>201</v>
      </c>
      <c r="D42" s="1" t="s">
        <v>379</v>
      </c>
      <c r="E42" s="1" t="s">
        <v>554</v>
      </c>
      <c r="F42" s="4">
        <f>'Rozpočet - vybrané sloupce'!BA41</f>
        <v>578.1</v>
      </c>
      <c r="G42" s="6">
        <f>'Rozpočet - vybrané sloupce'!BF41</f>
        <v>0</v>
      </c>
      <c r="H42" s="4">
        <f>F42*AE42</f>
        <v>0</v>
      </c>
      <c r="I42" s="4">
        <f>J42-H42</f>
        <v>0</v>
      </c>
      <c r="J42" s="4">
        <f>F42*G42</f>
        <v>0</v>
      </c>
      <c r="K42" s="4">
        <v>0</v>
      </c>
      <c r="L42" s="4">
        <f>F42*K42</f>
        <v>0</v>
      </c>
      <c r="M42" s="72" t="s">
        <v>643</v>
      </c>
      <c r="P42" s="23">
        <f>IF(AG42="5",J42,0)</f>
        <v>0</v>
      </c>
      <c r="R42" s="23">
        <f>IF(AG42="1",H42,0)</f>
        <v>0</v>
      </c>
      <c r="S42" s="23">
        <f>IF(AG42="1",I42,0)</f>
        <v>0</v>
      </c>
      <c r="T42" s="23">
        <f>IF(AG42="7",H42,0)</f>
        <v>0</v>
      </c>
      <c r="U42" s="23">
        <f>IF(AG42="7",I42,0)</f>
        <v>0</v>
      </c>
      <c r="V42" s="23">
        <f>IF(AG42="2",H42,0)</f>
        <v>0</v>
      </c>
      <c r="W42" s="23">
        <f>IF(AG42="2",I42,0)</f>
        <v>0</v>
      </c>
      <c r="X42" s="23">
        <f>IF(AG42="0",J42,0)</f>
        <v>0</v>
      </c>
      <c r="Y42" s="67" t="s">
        <v>172</v>
      </c>
      <c r="Z42" s="4">
        <f>IF(AD42=0,J42,0)</f>
        <v>0</v>
      </c>
      <c r="AA42" s="4">
        <f>IF(AD42=15,J42,0)</f>
        <v>0</v>
      </c>
      <c r="AB42" s="4">
        <f>IF(AD42=21,J42,0)</f>
        <v>0</v>
      </c>
      <c r="AD42" s="23">
        <v>21</v>
      </c>
      <c r="AE42" s="23">
        <f>G42*0.330906937726255</f>
        <v>0</v>
      </c>
      <c r="AF42" s="23">
        <f>G42*(1-0.330906937726255)</f>
        <v>0</v>
      </c>
      <c r="AG42" s="72" t="s">
        <v>7</v>
      </c>
      <c r="AM42" s="23">
        <f>F42*AE42</f>
        <v>0</v>
      </c>
      <c r="AN42" s="23">
        <f>F42*AF42</f>
        <v>0</v>
      </c>
      <c r="AO42" s="75" t="s">
        <v>659</v>
      </c>
      <c r="AP42" s="75" t="s">
        <v>689</v>
      </c>
      <c r="AQ42" s="67" t="s">
        <v>709</v>
      </c>
      <c r="AS42" s="23">
        <f>AM42+AN42</f>
        <v>0</v>
      </c>
      <c r="AT42" s="23">
        <f>G42/(100-AU42)*100</f>
        <v>0</v>
      </c>
      <c r="AU42" s="23">
        <v>0</v>
      </c>
      <c r="AV42" s="23">
        <f>L42</f>
        <v>0</v>
      </c>
    </row>
    <row r="43" spans="1:48" ht="12.75">
      <c r="A43" s="1" t="s">
        <v>31</v>
      </c>
      <c r="B43" s="1" t="s">
        <v>172</v>
      </c>
      <c r="C43" s="1" t="s">
        <v>202</v>
      </c>
      <c r="D43" s="1" t="s">
        <v>380</v>
      </c>
      <c r="E43" s="1" t="s">
        <v>554</v>
      </c>
      <c r="F43" s="4">
        <f>'Rozpočet - vybrané sloupce'!BA42</f>
        <v>90.46</v>
      </c>
      <c r="G43" s="6">
        <f>'Rozpočet - vybrané sloupce'!BF42</f>
        <v>0</v>
      </c>
      <c r="H43" s="4">
        <f>F43*AE43</f>
        <v>0</v>
      </c>
      <c r="I43" s="4">
        <f>J43-H43</f>
        <v>0</v>
      </c>
      <c r="J43" s="4">
        <f>F43*G43</f>
        <v>0</v>
      </c>
      <c r="K43" s="4">
        <v>0</v>
      </c>
      <c r="L43" s="4">
        <f>F43*K43</f>
        <v>0</v>
      </c>
      <c r="M43" s="72" t="s">
        <v>643</v>
      </c>
      <c r="P43" s="23">
        <f>IF(AG43="5",J43,0)</f>
        <v>0</v>
      </c>
      <c r="R43" s="23">
        <f>IF(AG43="1",H43,0)</f>
        <v>0</v>
      </c>
      <c r="S43" s="23">
        <f>IF(AG43="1",I43,0)</f>
        <v>0</v>
      </c>
      <c r="T43" s="23">
        <f>IF(AG43="7",H43,0)</f>
        <v>0</v>
      </c>
      <c r="U43" s="23">
        <f>IF(AG43="7",I43,0)</f>
        <v>0</v>
      </c>
      <c r="V43" s="23">
        <f>IF(AG43="2",H43,0)</f>
        <v>0</v>
      </c>
      <c r="W43" s="23">
        <f>IF(AG43="2",I43,0)</f>
        <v>0</v>
      </c>
      <c r="X43" s="23">
        <f>IF(AG43="0",J43,0)</f>
        <v>0</v>
      </c>
      <c r="Y43" s="67" t="s">
        <v>172</v>
      </c>
      <c r="Z43" s="4">
        <f>IF(AD43=0,J43,0)</f>
        <v>0</v>
      </c>
      <c r="AA43" s="4">
        <f>IF(AD43=15,J43,0)</f>
        <v>0</v>
      </c>
      <c r="AB43" s="4">
        <f>IF(AD43=21,J43,0)</f>
        <v>0</v>
      </c>
      <c r="AD43" s="23">
        <v>21</v>
      </c>
      <c r="AE43" s="23">
        <f>G43*0.264166371691298</f>
        <v>0</v>
      </c>
      <c r="AF43" s="23">
        <f>G43*(1-0.264166371691298)</f>
        <v>0</v>
      </c>
      <c r="AG43" s="72" t="s">
        <v>7</v>
      </c>
      <c r="AM43" s="23">
        <f>F43*AE43</f>
        <v>0</v>
      </c>
      <c r="AN43" s="23">
        <f>F43*AF43</f>
        <v>0</v>
      </c>
      <c r="AO43" s="75" t="s">
        <v>659</v>
      </c>
      <c r="AP43" s="75" t="s">
        <v>689</v>
      </c>
      <c r="AQ43" s="67" t="s">
        <v>709</v>
      </c>
      <c r="AS43" s="23">
        <f>AM43+AN43</f>
        <v>0</v>
      </c>
      <c r="AT43" s="23">
        <f>G43/(100-AU43)*100</f>
        <v>0</v>
      </c>
      <c r="AU43" s="23">
        <v>0</v>
      </c>
      <c r="AV43" s="23">
        <f>L43</f>
        <v>0</v>
      </c>
    </row>
    <row r="44" spans="1:48" ht="12.75">
      <c r="A44" s="1" t="s">
        <v>32</v>
      </c>
      <c r="B44" s="1" t="s">
        <v>172</v>
      </c>
      <c r="C44" s="1" t="s">
        <v>203</v>
      </c>
      <c r="D44" s="1" t="s">
        <v>381</v>
      </c>
      <c r="E44" s="1" t="s">
        <v>554</v>
      </c>
      <c r="F44" s="4">
        <f>'Rozpočet - vybrané sloupce'!BA43</f>
        <v>98.93</v>
      </c>
      <c r="G44" s="6">
        <f>'Rozpočet - vybrané sloupce'!BF43</f>
        <v>0</v>
      </c>
      <c r="H44" s="4">
        <f>F44*AE44</f>
        <v>0</v>
      </c>
      <c r="I44" s="4">
        <f>J44-H44</f>
        <v>0</v>
      </c>
      <c r="J44" s="4">
        <f>F44*G44</f>
        <v>0</v>
      </c>
      <c r="K44" s="4">
        <v>0</v>
      </c>
      <c r="L44" s="4">
        <f>F44*K44</f>
        <v>0</v>
      </c>
      <c r="M44" s="72" t="s">
        <v>643</v>
      </c>
      <c r="P44" s="23">
        <f>IF(AG44="5",J44,0)</f>
        <v>0</v>
      </c>
      <c r="R44" s="23">
        <f>IF(AG44="1",H44,0)</f>
        <v>0</v>
      </c>
      <c r="S44" s="23">
        <f>IF(AG44="1",I44,0)</f>
        <v>0</v>
      </c>
      <c r="T44" s="23">
        <f>IF(AG44="7",H44,0)</f>
        <v>0</v>
      </c>
      <c r="U44" s="23">
        <f>IF(AG44="7",I44,0)</f>
        <v>0</v>
      </c>
      <c r="V44" s="23">
        <f>IF(AG44="2",H44,0)</f>
        <v>0</v>
      </c>
      <c r="W44" s="23">
        <f>IF(AG44="2",I44,0)</f>
        <v>0</v>
      </c>
      <c r="X44" s="23">
        <f>IF(AG44="0",J44,0)</f>
        <v>0</v>
      </c>
      <c r="Y44" s="67" t="s">
        <v>172</v>
      </c>
      <c r="Z44" s="4">
        <f>IF(AD44=0,J44,0)</f>
        <v>0</v>
      </c>
      <c r="AA44" s="4">
        <f>IF(AD44=15,J44,0)</f>
        <v>0</v>
      </c>
      <c r="AB44" s="4">
        <f>IF(AD44=21,J44,0)</f>
        <v>0</v>
      </c>
      <c r="AD44" s="23">
        <v>21</v>
      </c>
      <c r="AE44" s="23">
        <f>G44*0.219764384559359</f>
        <v>0</v>
      </c>
      <c r="AF44" s="23">
        <f>G44*(1-0.219764384559359)</f>
        <v>0</v>
      </c>
      <c r="AG44" s="72" t="s">
        <v>7</v>
      </c>
      <c r="AM44" s="23">
        <f>F44*AE44</f>
        <v>0</v>
      </c>
      <c r="AN44" s="23">
        <f>F44*AF44</f>
        <v>0</v>
      </c>
      <c r="AO44" s="75" t="s">
        <v>659</v>
      </c>
      <c r="AP44" s="75" t="s">
        <v>689</v>
      </c>
      <c r="AQ44" s="67" t="s">
        <v>709</v>
      </c>
      <c r="AS44" s="23">
        <f>AM44+AN44</f>
        <v>0</v>
      </c>
      <c r="AT44" s="23">
        <f>G44/(100-AU44)*100</f>
        <v>0</v>
      </c>
      <c r="AU44" s="23">
        <v>0</v>
      </c>
      <c r="AV44" s="23">
        <f>L44</f>
        <v>0</v>
      </c>
    </row>
    <row r="45" spans="1:37" ht="12.75">
      <c r="A45" s="52"/>
      <c r="B45" s="58" t="s">
        <v>172</v>
      </c>
      <c r="C45" s="58" t="s">
        <v>44</v>
      </c>
      <c r="D45" s="58" t="s">
        <v>382</v>
      </c>
      <c r="E45" s="52" t="s">
        <v>6</v>
      </c>
      <c r="F45" s="52" t="s">
        <v>6</v>
      </c>
      <c r="G45" s="64" t="s">
        <v>6</v>
      </c>
      <c r="H45" s="9">
        <f>SUM(H46:H46)</f>
        <v>0</v>
      </c>
      <c r="I45" s="9">
        <f>SUM(I46:I46)</f>
        <v>0</v>
      </c>
      <c r="J45" s="9">
        <f>H45+I45</f>
        <v>0</v>
      </c>
      <c r="K45" s="67"/>
      <c r="L45" s="9">
        <f>SUM(L46:L46)</f>
        <v>0</v>
      </c>
      <c r="M45" s="67"/>
      <c r="Y45" s="67" t="s">
        <v>172</v>
      </c>
      <c r="AI45" s="9">
        <f>SUM(Z46:Z46)</f>
        <v>0</v>
      </c>
      <c r="AJ45" s="9">
        <f>SUM(AA46:AA46)</f>
        <v>0</v>
      </c>
      <c r="AK45" s="9">
        <f>SUM(AB46:AB46)</f>
        <v>0</v>
      </c>
    </row>
    <row r="46" spans="1:48" ht="12.75">
      <c r="A46" s="1" t="s">
        <v>33</v>
      </c>
      <c r="B46" s="1" t="s">
        <v>172</v>
      </c>
      <c r="C46" s="1" t="s">
        <v>204</v>
      </c>
      <c r="D46" s="1" t="s">
        <v>383</v>
      </c>
      <c r="E46" s="1" t="s">
        <v>557</v>
      </c>
      <c r="F46" s="4">
        <f>'Rozpočet - vybrané sloupce'!BA45</f>
        <v>2</v>
      </c>
      <c r="G46" s="6">
        <f>'Rozpočet - vybrané sloupce'!BF45</f>
        <v>0</v>
      </c>
      <c r="H46" s="4">
        <f>F46*AE46</f>
        <v>0</v>
      </c>
      <c r="I46" s="4">
        <f>J46-H46</f>
        <v>0</v>
      </c>
      <c r="J46" s="4">
        <f>F46*G46</f>
        <v>0</v>
      </c>
      <c r="K46" s="4">
        <v>0</v>
      </c>
      <c r="L46" s="4">
        <f>F46*K46</f>
        <v>0</v>
      </c>
      <c r="M46" s="72" t="s">
        <v>643</v>
      </c>
      <c r="P46" s="23">
        <f>IF(AG46="5",J46,0)</f>
        <v>0</v>
      </c>
      <c r="R46" s="23">
        <f>IF(AG46="1",H46,0)</f>
        <v>0</v>
      </c>
      <c r="S46" s="23">
        <f>IF(AG46="1",I46,0)</f>
        <v>0</v>
      </c>
      <c r="T46" s="23">
        <f>IF(AG46="7",H46,0)</f>
        <v>0</v>
      </c>
      <c r="U46" s="23">
        <f>IF(AG46="7",I46,0)</f>
        <v>0</v>
      </c>
      <c r="V46" s="23">
        <f>IF(AG46="2",H46,0)</f>
        <v>0</v>
      </c>
      <c r="W46" s="23">
        <f>IF(AG46="2",I46,0)</f>
        <v>0</v>
      </c>
      <c r="X46" s="23">
        <f>IF(AG46="0",J46,0)</f>
        <v>0</v>
      </c>
      <c r="Y46" s="67" t="s">
        <v>172</v>
      </c>
      <c r="Z46" s="4">
        <f>IF(AD46=0,J46,0)</f>
        <v>0</v>
      </c>
      <c r="AA46" s="4">
        <f>IF(AD46=15,J46,0)</f>
        <v>0</v>
      </c>
      <c r="AB46" s="4">
        <f>IF(AD46=21,J46,0)</f>
        <v>0</v>
      </c>
      <c r="AD46" s="23">
        <v>21</v>
      </c>
      <c r="AE46" s="23">
        <f>G46*1</f>
        <v>0</v>
      </c>
      <c r="AF46" s="23">
        <f>G46*(1-1)</f>
        <v>0</v>
      </c>
      <c r="AG46" s="72" t="s">
        <v>7</v>
      </c>
      <c r="AM46" s="23">
        <f>F46*AE46</f>
        <v>0</v>
      </c>
      <c r="AN46" s="23">
        <f>F46*AF46</f>
        <v>0</v>
      </c>
      <c r="AO46" s="75" t="s">
        <v>660</v>
      </c>
      <c r="AP46" s="75" t="s">
        <v>689</v>
      </c>
      <c r="AQ46" s="67" t="s">
        <v>709</v>
      </c>
      <c r="AS46" s="23">
        <f>AM46+AN46</f>
        <v>0</v>
      </c>
      <c r="AT46" s="23">
        <f>G46/(100-AU46)*100</f>
        <v>0</v>
      </c>
      <c r="AU46" s="23">
        <v>0</v>
      </c>
      <c r="AV46" s="23">
        <f>L46</f>
        <v>0</v>
      </c>
    </row>
    <row r="47" spans="1:37" ht="12.75">
      <c r="A47" s="52"/>
      <c r="B47" s="58" t="s">
        <v>172</v>
      </c>
      <c r="C47" s="58" t="s">
        <v>47</v>
      </c>
      <c r="D47" s="58" t="s">
        <v>384</v>
      </c>
      <c r="E47" s="52" t="s">
        <v>6</v>
      </c>
      <c r="F47" s="52" t="s">
        <v>6</v>
      </c>
      <c r="G47" s="64" t="s">
        <v>6</v>
      </c>
      <c r="H47" s="9">
        <f>SUM(H48:H49)</f>
        <v>0</v>
      </c>
      <c r="I47" s="9">
        <f>SUM(I48:I49)</f>
        <v>0</v>
      </c>
      <c r="J47" s="9">
        <f>H47+I47</f>
        <v>0</v>
      </c>
      <c r="K47" s="67"/>
      <c r="L47" s="9">
        <f>SUM(L48:L49)</f>
        <v>11.774146799999999</v>
      </c>
      <c r="M47" s="67"/>
      <c r="Y47" s="67" t="s">
        <v>172</v>
      </c>
      <c r="AI47" s="9">
        <f>SUM(Z48:Z49)</f>
        <v>0</v>
      </c>
      <c r="AJ47" s="9">
        <f>SUM(AA48:AA49)</f>
        <v>0</v>
      </c>
      <c r="AK47" s="9">
        <f>SUM(AB48:AB49)</f>
        <v>0</v>
      </c>
    </row>
    <row r="48" spans="1:48" ht="12.75">
      <c r="A48" s="1" t="s">
        <v>34</v>
      </c>
      <c r="B48" s="1" t="s">
        <v>172</v>
      </c>
      <c r="C48" s="1" t="s">
        <v>205</v>
      </c>
      <c r="D48" s="1" t="s">
        <v>385</v>
      </c>
      <c r="E48" s="1" t="s">
        <v>554</v>
      </c>
      <c r="F48" s="4">
        <f>'Rozpočet - vybrané sloupce'!BA47</f>
        <v>634.4</v>
      </c>
      <c r="G48" s="6">
        <f>'Rozpočet - vybrané sloupce'!BF47</f>
        <v>0</v>
      </c>
      <c r="H48" s="4">
        <f>F48*AE48</f>
        <v>0</v>
      </c>
      <c r="I48" s="4">
        <f>J48-H48</f>
        <v>0</v>
      </c>
      <c r="J48" s="4">
        <f>F48*G48</f>
        <v>0</v>
      </c>
      <c r="K48" s="4">
        <v>0.01841</v>
      </c>
      <c r="L48" s="4">
        <f>F48*K48</f>
        <v>11.679303999999998</v>
      </c>
      <c r="M48" s="72" t="s">
        <v>643</v>
      </c>
      <c r="P48" s="23">
        <f>IF(AG48="5",J48,0)</f>
        <v>0</v>
      </c>
      <c r="R48" s="23">
        <f>IF(AG48="1",H48,0)</f>
        <v>0</v>
      </c>
      <c r="S48" s="23">
        <f>IF(AG48="1",I48,0)</f>
        <v>0</v>
      </c>
      <c r="T48" s="23">
        <f>IF(AG48="7",H48,0)</f>
        <v>0</v>
      </c>
      <c r="U48" s="23">
        <f>IF(AG48="7",I48,0)</f>
        <v>0</v>
      </c>
      <c r="V48" s="23">
        <f>IF(AG48="2",H48,0)</f>
        <v>0</v>
      </c>
      <c r="W48" s="23">
        <f>IF(AG48="2",I48,0)</f>
        <v>0</v>
      </c>
      <c r="X48" s="23">
        <f>IF(AG48="0",J48,0)</f>
        <v>0</v>
      </c>
      <c r="Y48" s="67" t="s">
        <v>172</v>
      </c>
      <c r="Z48" s="4">
        <f>IF(AD48=0,J48,0)</f>
        <v>0</v>
      </c>
      <c r="AA48" s="4">
        <f>IF(AD48=15,J48,0)</f>
        <v>0</v>
      </c>
      <c r="AB48" s="4">
        <f>IF(AD48=21,J48,0)</f>
        <v>0</v>
      </c>
      <c r="AD48" s="23">
        <v>21</v>
      </c>
      <c r="AE48" s="23">
        <f>G48*0.392645914396887</f>
        <v>0</v>
      </c>
      <c r="AF48" s="23">
        <f>G48*(1-0.392645914396887)</f>
        <v>0</v>
      </c>
      <c r="AG48" s="72" t="s">
        <v>7</v>
      </c>
      <c r="AM48" s="23">
        <f>F48*AE48</f>
        <v>0</v>
      </c>
      <c r="AN48" s="23">
        <f>F48*AF48</f>
        <v>0</v>
      </c>
      <c r="AO48" s="75" t="s">
        <v>661</v>
      </c>
      <c r="AP48" s="75" t="s">
        <v>690</v>
      </c>
      <c r="AQ48" s="67" t="s">
        <v>709</v>
      </c>
      <c r="AS48" s="23">
        <f>AM48+AN48</f>
        <v>0</v>
      </c>
      <c r="AT48" s="23">
        <f>G48/(100-AU48)*100</f>
        <v>0</v>
      </c>
      <c r="AU48" s="23">
        <v>0</v>
      </c>
      <c r="AV48" s="23">
        <f>L48</f>
        <v>11.679303999999998</v>
      </c>
    </row>
    <row r="49" spans="1:48" ht="12.75">
      <c r="A49" s="1" t="s">
        <v>35</v>
      </c>
      <c r="B49" s="1" t="s">
        <v>172</v>
      </c>
      <c r="C49" s="1" t="s">
        <v>206</v>
      </c>
      <c r="D49" s="1" t="s">
        <v>386</v>
      </c>
      <c r="E49" s="1" t="s">
        <v>554</v>
      </c>
      <c r="F49" s="4">
        <f>'Rozpočet - vybrané sloupce'!BA48</f>
        <v>729.56</v>
      </c>
      <c r="G49" s="6">
        <f>'Rozpočet - vybrané sloupce'!BF48</f>
        <v>0</v>
      </c>
      <c r="H49" s="4">
        <f>F49*AE49</f>
        <v>0</v>
      </c>
      <c r="I49" s="4">
        <f>J49-H49</f>
        <v>0</v>
      </c>
      <c r="J49" s="4">
        <f>F49*G49</f>
        <v>0</v>
      </c>
      <c r="K49" s="4">
        <v>0.00013</v>
      </c>
      <c r="L49" s="4">
        <f>F49*K49</f>
        <v>0.09484279999999999</v>
      </c>
      <c r="M49" s="72" t="s">
        <v>643</v>
      </c>
      <c r="P49" s="23">
        <f>IF(AG49="5",J49,0)</f>
        <v>0</v>
      </c>
      <c r="R49" s="23">
        <f>IF(AG49="1",H49,0)</f>
        <v>0</v>
      </c>
      <c r="S49" s="23">
        <f>IF(AG49="1",I49,0)</f>
        <v>0</v>
      </c>
      <c r="T49" s="23">
        <f>IF(AG49="7",H49,0)</f>
        <v>0</v>
      </c>
      <c r="U49" s="23">
        <f>IF(AG49="7",I49,0)</f>
        <v>0</v>
      </c>
      <c r="V49" s="23">
        <f>IF(AG49="2",H49,0)</f>
        <v>0</v>
      </c>
      <c r="W49" s="23">
        <f>IF(AG49="2",I49,0)</f>
        <v>0</v>
      </c>
      <c r="X49" s="23">
        <f>IF(AG49="0",J49,0)</f>
        <v>0</v>
      </c>
      <c r="Y49" s="67" t="s">
        <v>172</v>
      </c>
      <c r="Z49" s="4">
        <f>IF(AD49=0,J49,0)</f>
        <v>0</v>
      </c>
      <c r="AA49" s="4">
        <f>IF(AD49=15,J49,0)</f>
        <v>0</v>
      </c>
      <c r="AB49" s="4">
        <f>IF(AD49=21,J49,0)</f>
        <v>0</v>
      </c>
      <c r="AD49" s="23">
        <v>21</v>
      </c>
      <c r="AE49" s="23">
        <f>G49*0.347508093988336</f>
        <v>0</v>
      </c>
      <c r="AF49" s="23">
        <f>G49*(1-0.347508093988336)</f>
        <v>0</v>
      </c>
      <c r="AG49" s="72" t="s">
        <v>7</v>
      </c>
      <c r="AM49" s="23">
        <f>F49*AE49</f>
        <v>0</v>
      </c>
      <c r="AN49" s="23">
        <f>F49*AF49</f>
        <v>0</v>
      </c>
      <c r="AO49" s="75" t="s">
        <v>661</v>
      </c>
      <c r="AP49" s="75" t="s">
        <v>690</v>
      </c>
      <c r="AQ49" s="67" t="s">
        <v>709</v>
      </c>
      <c r="AS49" s="23">
        <f>AM49+AN49</f>
        <v>0</v>
      </c>
      <c r="AT49" s="23">
        <f>G49/(100-AU49)*100</f>
        <v>0</v>
      </c>
      <c r="AU49" s="23">
        <v>0</v>
      </c>
      <c r="AV49" s="23">
        <f>L49</f>
        <v>0.09484279999999999</v>
      </c>
    </row>
    <row r="50" spans="1:37" ht="12.75">
      <c r="A50" s="52"/>
      <c r="B50" s="58" t="s">
        <v>172</v>
      </c>
      <c r="C50" s="58" t="s">
        <v>50</v>
      </c>
      <c r="D50" s="58" t="s">
        <v>387</v>
      </c>
      <c r="E50" s="52" t="s">
        <v>6</v>
      </c>
      <c r="F50" s="52" t="s">
        <v>6</v>
      </c>
      <c r="G50" s="64" t="s">
        <v>6</v>
      </c>
      <c r="H50" s="9">
        <f>SUM(H51:H53)</f>
        <v>0</v>
      </c>
      <c r="I50" s="9">
        <f>SUM(I51:I53)</f>
        <v>0</v>
      </c>
      <c r="J50" s="9">
        <f>H50+I50</f>
        <v>0</v>
      </c>
      <c r="K50" s="67"/>
      <c r="L50" s="9">
        <f>SUM(L51:L53)</f>
        <v>0</v>
      </c>
      <c r="M50" s="67"/>
      <c r="Y50" s="67" t="s">
        <v>172</v>
      </c>
      <c r="AI50" s="9">
        <f>SUM(Z51:Z53)</f>
        <v>0</v>
      </c>
      <c r="AJ50" s="9">
        <f>SUM(AA51:AA53)</f>
        <v>0</v>
      </c>
      <c r="AK50" s="9">
        <f>SUM(AB51:AB53)</f>
        <v>0</v>
      </c>
    </row>
    <row r="51" spans="1:48" ht="12.75">
      <c r="A51" s="1" t="s">
        <v>36</v>
      </c>
      <c r="B51" s="1" t="s">
        <v>172</v>
      </c>
      <c r="C51" s="1" t="s">
        <v>207</v>
      </c>
      <c r="D51" s="1" t="s">
        <v>388</v>
      </c>
      <c r="E51" s="1" t="s">
        <v>556</v>
      </c>
      <c r="F51" s="4">
        <f>'Rozpočet - vybrané sloupce'!BA50</f>
        <v>184.16</v>
      </c>
      <c r="G51" s="6">
        <f>'Rozpočet - vybrané sloupce'!BF50</f>
        <v>0</v>
      </c>
      <c r="H51" s="4">
        <f>F51*AE51</f>
        <v>0</v>
      </c>
      <c r="I51" s="4">
        <f>J51-H51</f>
        <v>0</v>
      </c>
      <c r="J51" s="4">
        <f>F51*G51</f>
        <v>0</v>
      </c>
      <c r="K51" s="4">
        <v>0</v>
      </c>
      <c r="L51" s="4">
        <f>F51*K51</f>
        <v>0</v>
      </c>
      <c r="M51" s="72" t="s">
        <v>643</v>
      </c>
      <c r="P51" s="23">
        <f>IF(AG51="5",J51,0)</f>
        <v>0</v>
      </c>
      <c r="R51" s="23">
        <f>IF(AG51="1",H51,0)</f>
        <v>0</v>
      </c>
      <c r="S51" s="23">
        <f>IF(AG51="1",I51,0)</f>
        <v>0</v>
      </c>
      <c r="T51" s="23">
        <f>IF(AG51="7",H51,0)</f>
        <v>0</v>
      </c>
      <c r="U51" s="23">
        <f>IF(AG51="7",I51,0)</f>
        <v>0</v>
      </c>
      <c r="V51" s="23">
        <f>IF(AG51="2",H51,0)</f>
        <v>0</v>
      </c>
      <c r="W51" s="23">
        <f>IF(AG51="2",I51,0)</f>
        <v>0</v>
      </c>
      <c r="X51" s="23">
        <f>IF(AG51="0",J51,0)</f>
        <v>0</v>
      </c>
      <c r="Y51" s="67" t="s">
        <v>172</v>
      </c>
      <c r="Z51" s="4">
        <f>IF(AD51=0,J51,0)</f>
        <v>0</v>
      </c>
      <c r="AA51" s="4">
        <f>IF(AD51=15,J51,0)</f>
        <v>0</v>
      </c>
      <c r="AB51" s="4">
        <f>IF(AD51=21,J51,0)</f>
        <v>0</v>
      </c>
      <c r="AD51" s="23">
        <v>21</v>
      </c>
      <c r="AE51" s="23">
        <f>G51*0</f>
        <v>0</v>
      </c>
      <c r="AF51" s="23">
        <f>G51*(1-0)</f>
        <v>0</v>
      </c>
      <c r="AG51" s="72" t="s">
        <v>7</v>
      </c>
      <c r="AM51" s="23">
        <f>F51*AE51</f>
        <v>0</v>
      </c>
      <c r="AN51" s="23">
        <f>F51*AF51</f>
        <v>0</v>
      </c>
      <c r="AO51" s="75" t="s">
        <v>662</v>
      </c>
      <c r="AP51" s="75" t="s">
        <v>690</v>
      </c>
      <c r="AQ51" s="67" t="s">
        <v>709</v>
      </c>
      <c r="AS51" s="23">
        <f>AM51+AN51</f>
        <v>0</v>
      </c>
      <c r="AT51" s="23">
        <f>G51/(100-AU51)*100</f>
        <v>0</v>
      </c>
      <c r="AU51" s="23">
        <v>0</v>
      </c>
      <c r="AV51" s="23">
        <f>L51</f>
        <v>0</v>
      </c>
    </row>
    <row r="52" spans="1:48" ht="12.75">
      <c r="A52" s="1" t="s">
        <v>37</v>
      </c>
      <c r="B52" s="1" t="s">
        <v>172</v>
      </c>
      <c r="C52" s="1" t="s">
        <v>208</v>
      </c>
      <c r="D52" s="1" t="s">
        <v>389</v>
      </c>
      <c r="E52" s="1" t="s">
        <v>554</v>
      </c>
      <c r="F52" s="4">
        <f>'Rozpočet - vybrané sloupce'!BA51</f>
        <v>694.26</v>
      </c>
      <c r="G52" s="6">
        <f>'Rozpočet - vybrané sloupce'!BF51</f>
        <v>0</v>
      </c>
      <c r="H52" s="4">
        <f>F52*AE52</f>
        <v>0</v>
      </c>
      <c r="I52" s="4">
        <f>J52-H52</f>
        <v>0</v>
      </c>
      <c r="J52" s="4">
        <f>F52*G52</f>
        <v>0</v>
      </c>
      <c r="K52" s="4">
        <v>0</v>
      </c>
      <c r="L52" s="4">
        <f>F52*K52</f>
        <v>0</v>
      </c>
      <c r="M52" s="72" t="s">
        <v>643</v>
      </c>
      <c r="P52" s="23">
        <f>IF(AG52="5",J52,0)</f>
        <v>0</v>
      </c>
      <c r="R52" s="23">
        <f>IF(AG52="1",H52,0)</f>
        <v>0</v>
      </c>
      <c r="S52" s="23">
        <f>IF(AG52="1",I52,0)</f>
        <v>0</v>
      </c>
      <c r="T52" s="23">
        <f>IF(AG52="7",H52,0)</f>
        <v>0</v>
      </c>
      <c r="U52" s="23">
        <f>IF(AG52="7",I52,0)</f>
        <v>0</v>
      </c>
      <c r="V52" s="23">
        <f>IF(AG52="2",H52,0)</f>
        <v>0</v>
      </c>
      <c r="W52" s="23">
        <f>IF(AG52="2",I52,0)</f>
        <v>0</v>
      </c>
      <c r="X52" s="23">
        <f>IF(AG52="0",J52,0)</f>
        <v>0</v>
      </c>
      <c r="Y52" s="67" t="s">
        <v>172</v>
      </c>
      <c r="Z52" s="4">
        <f>IF(AD52=0,J52,0)</f>
        <v>0</v>
      </c>
      <c r="AA52" s="4">
        <f>IF(AD52=15,J52,0)</f>
        <v>0</v>
      </c>
      <c r="AB52" s="4">
        <f>IF(AD52=21,J52,0)</f>
        <v>0</v>
      </c>
      <c r="AD52" s="23">
        <v>21</v>
      </c>
      <c r="AE52" s="23">
        <f>G52*0.322632214890189</f>
        <v>0</v>
      </c>
      <c r="AF52" s="23">
        <f>G52*(1-0.322632214890189)</f>
        <v>0</v>
      </c>
      <c r="AG52" s="72" t="s">
        <v>7</v>
      </c>
      <c r="AM52" s="23">
        <f>F52*AE52</f>
        <v>0</v>
      </c>
      <c r="AN52" s="23">
        <f>F52*AF52</f>
        <v>0</v>
      </c>
      <c r="AO52" s="75" t="s">
        <v>662</v>
      </c>
      <c r="AP52" s="75" t="s">
        <v>690</v>
      </c>
      <c r="AQ52" s="67" t="s">
        <v>709</v>
      </c>
      <c r="AS52" s="23">
        <f>AM52+AN52</f>
        <v>0</v>
      </c>
      <c r="AT52" s="23">
        <f>G52/(100-AU52)*100</f>
        <v>0</v>
      </c>
      <c r="AU52" s="23">
        <v>0</v>
      </c>
      <c r="AV52" s="23">
        <f>L52</f>
        <v>0</v>
      </c>
    </row>
    <row r="53" spans="1:48" ht="12.75">
      <c r="A53" s="1" t="s">
        <v>38</v>
      </c>
      <c r="B53" s="1" t="s">
        <v>172</v>
      </c>
      <c r="C53" s="1" t="s">
        <v>209</v>
      </c>
      <c r="D53" s="1" t="s">
        <v>390</v>
      </c>
      <c r="E53" s="1" t="s">
        <v>558</v>
      </c>
      <c r="F53" s="4">
        <f>'Rozpočet - vybrané sloupce'!BA52</f>
        <v>4</v>
      </c>
      <c r="G53" s="6">
        <f>'Rozpočet - vybrané sloupce'!BF52</f>
        <v>0</v>
      </c>
      <c r="H53" s="4">
        <f>F53*AE53</f>
        <v>0</v>
      </c>
      <c r="I53" s="4">
        <f>J53-H53</f>
        <v>0</v>
      </c>
      <c r="J53" s="4">
        <f>F53*G53</f>
        <v>0</v>
      </c>
      <c r="K53" s="4">
        <v>0</v>
      </c>
      <c r="L53" s="4">
        <f>F53*K53</f>
        <v>0</v>
      </c>
      <c r="M53" s="72" t="s">
        <v>643</v>
      </c>
      <c r="P53" s="23">
        <f>IF(AG53="5",J53,0)</f>
        <v>0</v>
      </c>
      <c r="R53" s="23">
        <f>IF(AG53="1",H53,0)</f>
        <v>0</v>
      </c>
      <c r="S53" s="23">
        <f>IF(AG53="1",I53,0)</f>
        <v>0</v>
      </c>
      <c r="T53" s="23">
        <f>IF(AG53="7",H53,0)</f>
        <v>0</v>
      </c>
      <c r="U53" s="23">
        <f>IF(AG53="7",I53,0)</f>
        <v>0</v>
      </c>
      <c r="V53" s="23">
        <f>IF(AG53="2",H53,0)</f>
        <v>0</v>
      </c>
      <c r="W53" s="23">
        <f>IF(AG53="2",I53,0)</f>
        <v>0</v>
      </c>
      <c r="X53" s="23">
        <f>IF(AG53="0",J53,0)</f>
        <v>0</v>
      </c>
      <c r="Y53" s="67" t="s">
        <v>172</v>
      </c>
      <c r="Z53" s="4">
        <f>IF(AD53=0,J53,0)</f>
        <v>0</v>
      </c>
      <c r="AA53" s="4">
        <f>IF(AD53=15,J53,0)</f>
        <v>0</v>
      </c>
      <c r="AB53" s="4">
        <f>IF(AD53=21,J53,0)</f>
        <v>0</v>
      </c>
      <c r="AD53" s="23">
        <v>21</v>
      </c>
      <c r="AE53" s="23">
        <f>G53*0</f>
        <v>0</v>
      </c>
      <c r="AF53" s="23">
        <f>G53*(1-0)</f>
        <v>0</v>
      </c>
      <c r="AG53" s="72" t="s">
        <v>7</v>
      </c>
      <c r="AM53" s="23">
        <f>F53*AE53</f>
        <v>0</v>
      </c>
      <c r="AN53" s="23">
        <f>F53*AF53</f>
        <v>0</v>
      </c>
      <c r="AO53" s="75" t="s">
        <v>662</v>
      </c>
      <c r="AP53" s="75" t="s">
        <v>690</v>
      </c>
      <c r="AQ53" s="67" t="s">
        <v>709</v>
      </c>
      <c r="AS53" s="23">
        <f>AM53+AN53</f>
        <v>0</v>
      </c>
      <c r="AT53" s="23">
        <f>G53/(100-AU53)*100</f>
        <v>0</v>
      </c>
      <c r="AU53" s="23">
        <v>0</v>
      </c>
      <c r="AV53" s="23">
        <f>L53</f>
        <v>0</v>
      </c>
    </row>
    <row r="54" spans="1:37" ht="12.75">
      <c r="A54" s="52"/>
      <c r="B54" s="58" t="s">
        <v>172</v>
      </c>
      <c r="C54" s="58" t="s">
        <v>51</v>
      </c>
      <c r="D54" s="58" t="s">
        <v>391</v>
      </c>
      <c r="E54" s="52" t="s">
        <v>6</v>
      </c>
      <c r="F54" s="52" t="s">
        <v>6</v>
      </c>
      <c r="G54" s="64" t="s">
        <v>6</v>
      </c>
      <c r="H54" s="9">
        <f>SUM(H55:H55)</f>
        <v>0</v>
      </c>
      <c r="I54" s="9">
        <f>SUM(I55:I55)</f>
        <v>0</v>
      </c>
      <c r="J54" s="9">
        <f>H54+I54</f>
        <v>0</v>
      </c>
      <c r="K54" s="67"/>
      <c r="L54" s="9">
        <f>SUM(L55:L55)</f>
        <v>1.5504314</v>
      </c>
      <c r="M54" s="67"/>
      <c r="Y54" s="67" t="s">
        <v>172</v>
      </c>
      <c r="AI54" s="9">
        <f>SUM(Z55:Z55)</f>
        <v>0</v>
      </c>
      <c r="AJ54" s="9">
        <f>SUM(AA55:AA55)</f>
        <v>0</v>
      </c>
      <c r="AK54" s="9">
        <f>SUM(AB55:AB55)</f>
        <v>0</v>
      </c>
    </row>
    <row r="55" spans="1:48" ht="12.75">
      <c r="A55" s="1" t="s">
        <v>39</v>
      </c>
      <c r="B55" s="1" t="s">
        <v>172</v>
      </c>
      <c r="C55" s="1" t="s">
        <v>210</v>
      </c>
      <c r="D55" s="1" t="s">
        <v>392</v>
      </c>
      <c r="E55" s="1" t="s">
        <v>552</v>
      </c>
      <c r="F55" s="4">
        <f>'Rozpočet - vybrané sloupce'!BA54</f>
        <v>0.82</v>
      </c>
      <c r="G55" s="6">
        <f>'Rozpočet - vybrané sloupce'!BF54</f>
        <v>0</v>
      </c>
      <c r="H55" s="4">
        <f>F55*AE55</f>
        <v>0</v>
      </c>
      <c r="I55" s="4">
        <f>J55-H55</f>
        <v>0</v>
      </c>
      <c r="J55" s="4">
        <f>F55*G55</f>
        <v>0</v>
      </c>
      <c r="K55" s="4">
        <v>1.89077</v>
      </c>
      <c r="L55" s="4">
        <f>F55*K55</f>
        <v>1.5504314</v>
      </c>
      <c r="M55" s="72" t="s">
        <v>643</v>
      </c>
      <c r="P55" s="23">
        <f>IF(AG55="5",J55,0)</f>
        <v>0</v>
      </c>
      <c r="R55" s="23">
        <f>IF(AG55="1",H55,0)</f>
        <v>0</v>
      </c>
      <c r="S55" s="23">
        <f>IF(AG55="1",I55,0)</f>
        <v>0</v>
      </c>
      <c r="T55" s="23">
        <f>IF(AG55="7",H55,0)</f>
        <v>0</v>
      </c>
      <c r="U55" s="23">
        <f>IF(AG55="7",I55,0)</f>
        <v>0</v>
      </c>
      <c r="V55" s="23">
        <f>IF(AG55="2",H55,0)</f>
        <v>0</v>
      </c>
      <c r="W55" s="23">
        <f>IF(AG55="2",I55,0)</f>
        <v>0</v>
      </c>
      <c r="X55" s="23">
        <f>IF(AG55="0",J55,0)</f>
        <v>0</v>
      </c>
      <c r="Y55" s="67" t="s">
        <v>172</v>
      </c>
      <c r="Z55" s="4">
        <f>IF(AD55=0,J55,0)</f>
        <v>0</v>
      </c>
      <c r="AA55" s="4">
        <f>IF(AD55=15,J55,0)</f>
        <v>0</v>
      </c>
      <c r="AB55" s="4">
        <f>IF(AD55=21,J55,0)</f>
        <v>0</v>
      </c>
      <c r="AD55" s="23">
        <v>21</v>
      </c>
      <c r="AE55" s="23">
        <f>G55*0.575812387561038</f>
        <v>0</v>
      </c>
      <c r="AF55" s="23">
        <f>G55*(1-0.575812387561038)</f>
        <v>0</v>
      </c>
      <c r="AG55" s="72" t="s">
        <v>7</v>
      </c>
      <c r="AM55" s="23">
        <f>F55*AE55</f>
        <v>0</v>
      </c>
      <c r="AN55" s="23">
        <f>F55*AF55</f>
        <v>0</v>
      </c>
      <c r="AO55" s="75" t="s">
        <v>663</v>
      </c>
      <c r="AP55" s="75" t="s">
        <v>690</v>
      </c>
      <c r="AQ55" s="67" t="s">
        <v>709</v>
      </c>
      <c r="AS55" s="23">
        <f>AM55+AN55</f>
        <v>0</v>
      </c>
      <c r="AT55" s="23">
        <f>G55/(100-AU55)*100</f>
        <v>0</v>
      </c>
      <c r="AU55" s="23">
        <v>0</v>
      </c>
      <c r="AV55" s="23">
        <f>L55</f>
        <v>1.5504314</v>
      </c>
    </row>
    <row r="56" spans="1:37" ht="12.75">
      <c r="A56" s="52"/>
      <c r="B56" s="58" t="s">
        <v>172</v>
      </c>
      <c r="C56" s="58" t="s">
        <v>69</v>
      </c>
      <c r="D56" s="58" t="s">
        <v>393</v>
      </c>
      <c r="E56" s="52" t="s">
        <v>6</v>
      </c>
      <c r="F56" s="52" t="s">
        <v>6</v>
      </c>
      <c r="G56" s="64" t="s">
        <v>6</v>
      </c>
      <c r="H56" s="9">
        <f>SUM(H57:H63)</f>
        <v>0</v>
      </c>
      <c r="I56" s="9">
        <f>SUM(I57:I63)</f>
        <v>0</v>
      </c>
      <c r="J56" s="9">
        <f>H56+I56</f>
        <v>0</v>
      </c>
      <c r="K56" s="67"/>
      <c r="L56" s="9">
        <f>SUM(L57:L63)</f>
        <v>321.7382125</v>
      </c>
      <c r="M56" s="67"/>
      <c r="Y56" s="67" t="s">
        <v>172</v>
      </c>
      <c r="AI56" s="9">
        <f>SUM(Z57:Z63)</f>
        <v>0</v>
      </c>
      <c r="AJ56" s="9">
        <f>SUM(AA57:AA63)</f>
        <v>0</v>
      </c>
      <c r="AK56" s="9">
        <f>SUM(AB57:AB63)</f>
        <v>0</v>
      </c>
    </row>
    <row r="57" spans="1:48" ht="12.75">
      <c r="A57" s="1" t="s">
        <v>40</v>
      </c>
      <c r="B57" s="1" t="s">
        <v>172</v>
      </c>
      <c r="C57" s="1" t="s">
        <v>211</v>
      </c>
      <c r="D57" s="1" t="s">
        <v>394</v>
      </c>
      <c r="E57" s="1" t="s">
        <v>552</v>
      </c>
      <c r="F57" s="4">
        <f>'Rozpočet - vybrané sloupce'!BA56</f>
        <v>232.7</v>
      </c>
      <c r="G57" s="6">
        <f>'Rozpočet - vybrané sloupce'!BF56</f>
        <v>0</v>
      </c>
      <c r="H57" s="4">
        <f aca="true" t="shared" si="20" ref="H57:H63">F57*AE57</f>
        <v>0</v>
      </c>
      <c r="I57" s="4">
        <f aca="true" t="shared" si="21" ref="I57:I63">J57-H57</f>
        <v>0</v>
      </c>
      <c r="J57" s="4">
        <f aca="true" t="shared" si="22" ref="J57:J63">F57*G57</f>
        <v>0</v>
      </c>
      <c r="K57" s="4">
        <v>0</v>
      </c>
      <c r="L57" s="4">
        <f aca="true" t="shared" si="23" ref="L57:L63">F57*K57</f>
        <v>0</v>
      </c>
      <c r="M57" s="72" t="s">
        <v>643</v>
      </c>
      <c r="P57" s="23">
        <f aca="true" t="shared" si="24" ref="P57:P63">IF(AG57="5",J57,0)</f>
        <v>0</v>
      </c>
      <c r="R57" s="23">
        <f aca="true" t="shared" si="25" ref="R57:R63">IF(AG57="1",H57,0)</f>
        <v>0</v>
      </c>
      <c r="S57" s="23">
        <f aca="true" t="shared" si="26" ref="S57:S63">IF(AG57="1",I57,0)</f>
        <v>0</v>
      </c>
      <c r="T57" s="23">
        <f aca="true" t="shared" si="27" ref="T57:T63">IF(AG57="7",H57,0)</f>
        <v>0</v>
      </c>
      <c r="U57" s="23">
        <f aca="true" t="shared" si="28" ref="U57:U63">IF(AG57="7",I57,0)</f>
        <v>0</v>
      </c>
      <c r="V57" s="23">
        <f aca="true" t="shared" si="29" ref="V57:V63">IF(AG57="2",H57,0)</f>
        <v>0</v>
      </c>
      <c r="W57" s="23">
        <f aca="true" t="shared" si="30" ref="W57:W63">IF(AG57="2",I57,0)</f>
        <v>0</v>
      </c>
      <c r="X57" s="23">
        <f aca="true" t="shared" si="31" ref="X57:X63">IF(AG57="0",J57,0)</f>
        <v>0</v>
      </c>
      <c r="Y57" s="67" t="s">
        <v>172</v>
      </c>
      <c r="Z57" s="4">
        <f aca="true" t="shared" si="32" ref="Z57:Z63">IF(AD57=0,J57,0)</f>
        <v>0</v>
      </c>
      <c r="AA57" s="4">
        <f aca="true" t="shared" si="33" ref="AA57:AA63">IF(AD57=15,J57,0)</f>
        <v>0</v>
      </c>
      <c r="AB57" s="4">
        <f aca="true" t="shared" si="34" ref="AB57:AB63">IF(AD57=21,J57,0)</f>
        <v>0</v>
      </c>
      <c r="AD57" s="23">
        <v>21</v>
      </c>
      <c r="AE57" s="23">
        <f>G57*0</f>
        <v>0</v>
      </c>
      <c r="AF57" s="23">
        <f>G57*(1-0)</f>
        <v>0</v>
      </c>
      <c r="AG57" s="72" t="s">
        <v>7</v>
      </c>
      <c r="AM57" s="23">
        <f aca="true" t="shared" si="35" ref="AM57:AM63">F57*AE57</f>
        <v>0</v>
      </c>
      <c r="AN57" s="23">
        <f aca="true" t="shared" si="36" ref="AN57:AN63">F57*AF57</f>
        <v>0</v>
      </c>
      <c r="AO57" s="75" t="s">
        <v>664</v>
      </c>
      <c r="AP57" s="75" t="s">
        <v>691</v>
      </c>
      <c r="AQ57" s="67" t="s">
        <v>709</v>
      </c>
      <c r="AS57" s="23">
        <f aca="true" t="shared" si="37" ref="AS57:AS63">AM57+AN57</f>
        <v>0</v>
      </c>
      <c r="AT57" s="23">
        <f aca="true" t="shared" si="38" ref="AT57:AT63">G57/(100-AU57)*100</f>
        <v>0</v>
      </c>
      <c r="AU57" s="23">
        <v>0</v>
      </c>
      <c r="AV57" s="23">
        <f aca="true" t="shared" si="39" ref="AV57:AV63">L57</f>
        <v>0</v>
      </c>
    </row>
    <row r="58" spans="1:48" ht="12.75">
      <c r="A58" s="1" t="s">
        <v>41</v>
      </c>
      <c r="B58" s="1" t="s">
        <v>172</v>
      </c>
      <c r="C58" s="1" t="s">
        <v>212</v>
      </c>
      <c r="D58" s="1" t="s">
        <v>395</v>
      </c>
      <c r="E58" s="1" t="s">
        <v>552</v>
      </c>
      <c r="F58" s="4">
        <f>'Rozpočet - vybrané sloupce'!BA57</f>
        <v>7.59</v>
      </c>
      <c r="G58" s="6">
        <f>'Rozpočet - vybrané sloupce'!BF57</f>
        <v>0</v>
      </c>
      <c r="H58" s="4">
        <f t="shared" si="20"/>
        <v>0</v>
      </c>
      <c r="I58" s="4">
        <f t="shared" si="21"/>
        <v>0</v>
      </c>
      <c r="J58" s="4">
        <f t="shared" si="22"/>
        <v>0</v>
      </c>
      <c r="K58" s="4">
        <v>2.525</v>
      </c>
      <c r="L58" s="4">
        <f t="shared" si="23"/>
        <v>19.164749999999998</v>
      </c>
      <c r="M58" s="72" t="s">
        <v>643</v>
      </c>
      <c r="P58" s="23">
        <f t="shared" si="24"/>
        <v>0</v>
      </c>
      <c r="R58" s="23">
        <f t="shared" si="25"/>
        <v>0</v>
      </c>
      <c r="S58" s="23">
        <f t="shared" si="26"/>
        <v>0</v>
      </c>
      <c r="T58" s="23">
        <f t="shared" si="27"/>
        <v>0</v>
      </c>
      <c r="U58" s="23">
        <f t="shared" si="28"/>
        <v>0</v>
      </c>
      <c r="V58" s="23">
        <f t="shared" si="29"/>
        <v>0</v>
      </c>
      <c r="W58" s="23">
        <f t="shared" si="30"/>
        <v>0</v>
      </c>
      <c r="X58" s="23">
        <f t="shared" si="31"/>
        <v>0</v>
      </c>
      <c r="Y58" s="67" t="s">
        <v>172</v>
      </c>
      <c r="Z58" s="4">
        <f t="shared" si="32"/>
        <v>0</v>
      </c>
      <c r="AA58" s="4">
        <f t="shared" si="33"/>
        <v>0</v>
      </c>
      <c r="AB58" s="4">
        <f t="shared" si="34"/>
        <v>0</v>
      </c>
      <c r="AD58" s="23">
        <v>21</v>
      </c>
      <c r="AE58" s="23">
        <f>G58*0.656741324921136</f>
        <v>0</v>
      </c>
      <c r="AF58" s="23">
        <f>G58*(1-0.656741324921136)</f>
        <v>0</v>
      </c>
      <c r="AG58" s="72" t="s">
        <v>7</v>
      </c>
      <c r="AM58" s="23">
        <f t="shared" si="35"/>
        <v>0</v>
      </c>
      <c r="AN58" s="23">
        <f t="shared" si="36"/>
        <v>0</v>
      </c>
      <c r="AO58" s="75" t="s">
        <v>664</v>
      </c>
      <c r="AP58" s="75" t="s">
        <v>691</v>
      </c>
      <c r="AQ58" s="67" t="s">
        <v>709</v>
      </c>
      <c r="AS58" s="23">
        <f t="shared" si="37"/>
        <v>0</v>
      </c>
      <c r="AT58" s="23">
        <f t="shared" si="38"/>
        <v>0</v>
      </c>
      <c r="AU58" s="23">
        <v>0</v>
      </c>
      <c r="AV58" s="23">
        <f t="shared" si="39"/>
        <v>19.164749999999998</v>
      </c>
    </row>
    <row r="59" spans="1:48" ht="12.75">
      <c r="A59" s="1" t="s">
        <v>42</v>
      </c>
      <c r="B59" s="1" t="s">
        <v>172</v>
      </c>
      <c r="C59" s="1" t="s">
        <v>213</v>
      </c>
      <c r="D59" s="1" t="s">
        <v>396</v>
      </c>
      <c r="E59" s="1" t="s">
        <v>553</v>
      </c>
      <c r="F59" s="4">
        <f>'Rozpočet - vybrané sloupce'!BA58</f>
        <v>7.01</v>
      </c>
      <c r="G59" s="6">
        <f>'Rozpočet - vybrané sloupce'!BF58</f>
        <v>0</v>
      </c>
      <c r="H59" s="4">
        <f t="shared" si="20"/>
        <v>0</v>
      </c>
      <c r="I59" s="4">
        <f t="shared" si="21"/>
        <v>0</v>
      </c>
      <c r="J59" s="4">
        <f t="shared" si="22"/>
        <v>0</v>
      </c>
      <c r="K59" s="4">
        <v>1.06625</v>
      </c>
      <c r="L59" s="4">
        <f t="shared" si="23"/>
        <v>7.474412499999999</v>
      </c>
      <c r="M59" s="72" t="s">
        <v>643</v>
      </c>
      <c r="P59" s="23">
        <f t="shared" si="24"/>
        <v>0</v>
      </c>
      <c r="R59" s="23">
        <f t="shared" si="25"/>
        <v>0</v>
      </c>
      <c r="S59" s="23">
        <f t="shared" si="26"/>
        <v>0</v>
      </c>
      <c r="T59" s="23">
        <f t="shared" si="27"/>
        <v>0</v>
      </c>
      <c r="U59" s="23">
        <f t="shared" si="28"/>
        <v>0</v>
      </c>
      <c r="V59" s="23">
        <f t="shared" si="29"/>
        <v>0</v>
      </c>
      <c r="W59" s="23">
        <f t="shared" si="30"/>
        <v>0</v>
      </c>
      <c r="X59" s="23">
        <f t="shared" si="31"/>
        <v>0</v>
      </c>
      <c r="Y59" s="67" t="s">
        <v>172</v>
      </c>
      <c r="Z59" s="4">
        <f t="shared" si="32"/>
        <v>0</v>
      </c>
      <c r="AA59" s="4">
        <f t="shared" si="33"/>
        <v>0</v>
      </c>
      <c r="AB59" s="4">
        <f t="shared" si="34"/>
        <v>0</v>
      </c>
      <c r="AD59" s="23">
        <v>21</v>
      </c>
      <c r="AE59" s="23">
        <f>G59*0.813467324290999</f>
        <v>0</v>
      </c>
      <c r="AF59" s="23">
        <f>G59*(1-0.813467324290999)</f>
        <v>0</v>
      </c>
      <c r="AG59" s="72" t="s">
        <v>7</v>
      </c>
      <c r="AM59" s="23">
        <f t="shared" si="35"/>
        <v>0</v>
      </c>
      <c r="AN59" s="23">
        <f t="shared" si="36"/>
        <v>0</v>
      </c>
      <c r="AO59" s="75" t="s">
        <v>664</v>
      </c>
      <c r="AP59" s="75" t="s">
        <v>691</v>
      </c>
      <c r="AQ59" s="67" t="s">
        <v>709</v>
      </c>
      <c r="AS59" s="23">
        <f t="shared" si="37"/>
        <v>0</v>
      </c>
      <c r="AT59" s="23">
        <f t="shared" si="38"/>
        <v>0</v>
      </c>
      <c r="AU59" s="23">
        <v>0</v>
      </c>
      <c r="AV59" s="23">
        <f t="shared" si="39"/>
        <v>7.474412499999999</v>
      </c>
    </row>
    <row r="60" spans="1:48" ht="12.75">
      <c r="A60" s="1" t="s">
        <v>43</v>
      </c>
      <c r="B60" s="1" t="s">
        <v>172</v>
      </c>
      <c r="C60" s="1" t="s">
        <v>214</v>
      </c>
      <c r="D60" s="1" t="s">
        <v>397</v>
      </c>
      <c r="E60" s="1" t="s">
        <v>552</v>
      </c>
      <c r="F60" s="4">
        <f>'Rozpočet - vybrané sloupce'!BA59</f>
        <v>7.59</v>
      </c>
      <c r="G60" s="6">
        <f>'Rozpočet - vybrané sloupce'!BF59</f>
        <v>0</v>
      </c>
      <c r="H60" s="4">
        <f t="shared" si="20"/>
        <v>0</v>
      </c>
      <c r="I60" s="4">
        <f t="shared" si="21"/>
        <v>0</v>
      </c>
      <c r="J60" s="4">
        <f t="shared" si="22"/>
        <v>0</v>
      </c>
      <c r="K60" s="4">
        <v>0</v>
      </c>
      <c r="L60" s="4">
        <f t="shared" si="23"/>
        <v>0</v>
      </c>
      <c r="M60" s="72" t="s">
        <v>643</v>
      </c>
      <c r="P60" s="23">
        <f t="shared" si="24"/>
        <v>0</v>
      </c>
      <c r="R60" s="23">
        <f t="shared" si="25"/>
        <v>0</v>
      </c>
      <c r="S60" s="23">
        <f t="shared" si="26"/>
        <v>0</v>
      </c>
      <c r="T60" s="23">
        <f t="shared" si="27"/>
        <v>0</v>
      </c>
      <c r="U60" s="23">
        <f t="shared" si="28"/>
        <v>0</v>
      </c>
      <c r="V60" s="23">
        <f t="shared" si="29"/>
        <v>0</v>
      </c>
      <c r="W60" s="23">
        <f t="shared" si="30"/>
        <v>0</v>
      </c>
      <c r="X60" s="23">
        <f t="shared" si="31"/>
        <v>0</v>
      </c>
      <c r="Y60" s="67" t="s">
        <v>172</v>
      </c>
      <c r="Z60" s="4">
        <f t="shared" si="32"/>
        <v>0</v>
      </c>
      <c r="AA60" s="4">
        <f t="shared" si="33"/>
        <v>0</v>
      </c>
      <c r="AB60" s="4">
        <f t="shared" si="34"/>
        <v>0</v>
      </c>
      <c r="AD60" s="23">
        <v>21</v>
      </c>
      <c r="AE60" s="23">
        <f>G60*0</f>
        <v>0</v>
      </c>
      <c r="AF60" s="23">
        <f>G60*(1-0)</f>
        <v>0</v>
      </c>
      <c r="AG60" s="72" t="s">
        <v>7</v>
      </c>
      <c r="AM60" s="23">
        <f t="shared" si="35"/>
        <v>0</v>
      </c>
      <c r="AN60" s="23">
        <f t="shared" si="36"/>
        <v>0</v>
      </c>
      <c r="AO60" s="75" t="s">
        <v>664</v>
      </c>
      <c r="AP60" s="75" t="s">
        <v>691</v>
      </c>
      <c r="AQ60" s="67" t="s">
        <v>709</v>
      </c>
      <c r="AS60" s="23">
        <f t="shared" si="37"/>
        <v>0</v>
      </c>
      <c r="AT60" s="23">
        <f t="shared" si="38"/>
        <v>0</v>
      </c>
      <c r="AU60" s="23">
        <v>0</v>
      </c>
      <c r="AV60" s="23">
        <f t="shared" si="39"/>
        <v>0</v>
      </c>
    </row>
    <row r="61" spans="1:48" ht="12.75">
      <c r="A61" s="1" t="s">
        <v>44</v>
      </c>
      <c r="B61" s="1" t="s">
        <v>172</v>
      </c>
      <c r="C61" s="1" t="s">
        <v>215</v>
      </c>
      <c r="D61" s="1" t="s">
        <v>398</v>
      </c>
      <c r="E61" s="1" t="s">
        <v>552</v>
      </c>
      <c r="F61" s="4">
        <f>'Rozpočet - vybrané sloupce'!BA60</f>
        <v>116.35</v>
      </c>
      <c r="G61" s="6">
        <f>'Rozpočet - vybrané sloupce'!BF60</f>
        <v>0</v>
      </c>
      <c r="H61" s="4">
        <f t="shared" si="20"/>
        <v>0</v>
      </c>
      <c r="I61" s="4">
        <f t="shared" si="21"/>
        <v>0</v>
      </c>
      <c r="J61" s="4">
        <f t="shared" si="22"/>
        <v>0</v>
      </c>
      <c r="K61" s="4">
        <v>0.01</v>
      </c>
      <c r="L61" s="4">
        <f t="shared" si="23"/>
        <v>1.1635</v>
      </c>
      <c r="M61" s="72" t="s">
        <v>643</v>
      </c>
      <c r="P61" s="23">
        <f t="shared" si="24"/>
        <v>0</v>
      </c>
      <c r="R61" s="23">
        <f t="shared" si="25"/>
        <v>0</v>
      </c>
      <c r="S61" s="23">
        <f t="shared" si="26"/>
        <v>0</v>
      </c>
      <c r="T61" s="23">
        <f t="shared" si="27"/>
        <v>0</v>
      </c>
      <c r="U61" s="23">
        <f t="shared" si="28"/>
        <v>0</v>
      </c>
      <c r="V61" s="23">
        <f t="shared" si="29"/>
        <v>0</v>
      </c>
      <c r="W61" s="23">
        <f t="shared" si="30"/>
        <v>0</v>
      </c>
      <c r="X61" s="23">
        <f t="shared" si="31"/>
        <v>0</v>
      </c>
      <c r="Y61" s="67" t="s">
        <v>172</v>
      </c>
      <c r="Z61" s="4">
        <f t="shared" si="32"/>
        <v>0</v>
      </c>
      <c r="AA61" s="4">
        <f t="shared" si="33"/>
        <v>0</v>
      </c>
      <c r="AB61" s="4">
        <f t="shared" si="34"/>
        <v>0</v>
      </c>
      <c r="AD61" s="23">
        <v>21</v>
      </c>
      <c r="AE61" s="23">
        <f>G61*0.0973333333333333</f>
        <v>0</v>
      </c>
      <c r="AF61" s="23">
        <f>G61*(1-0.0973333333333333)</f>
        <v>0</v>
      </c>
      <c r="AG61" s="72" t="s">
        <v>7</v>
      </c>
      <c r="AM61" s="23">
        <f t="shared" si="35"/>
        <v>0</v>
      </c>
      <c r="AN61" s="23">
        <f t="shared" si="36"/>
        <v>0</v>
      </c>
      <c r="AO61" s="75" t="s">
        <v>664</v>
      </c>
      <c r="AP61" s="75" t="s">
        <v>691</v>
      </c>
      <c r="AQ61" s="67" t="s">
        <v>709</v>
      </c>
      <c r="AS61" s="23">
        <f t="shared" si="37"/>
        <v>0</v>
      </c>
      <c r="AT61" s="23">
        <f t="shared" si="38"/>
        <v>0</v>
      </c>
      <c r="AU61" s="23">
        <v>0</v>
      </c>
      <c r="AV61" s="23">
        <f t="shared" si="39"/>
        <v>1.1635</v>
      </c>
    </row>
    <row r="62" spans="1:48" ht="12.75">
      <c r="A62" s="1" t="s">
        <v>45</v>
      </c>
      <c r="B62" s="1" t="s">
        <v>172</v>
      </c>
      <c r="C62" s="1" t="s">
        <v>216</v>
      </c>
      <c r="D62" s="1" t="s">
        <v>399</v>
      </c>
      <c r="E62" s="1" t="s">
        <v>552</v>
      </c>
      <c r="F62" s="4">
        <f>'Rozpočet - vybrané sloupce'!BA61</f>
        <v>7.59</v>
      </c>
      <c r="G62" s="6">
        <f>'Rozpočet - vybrané sloupce'!BF61</f>
        <v>0</v>
      </c>
      <c r="H62" s="4">
        <f t="shared" si="20"/>
        <v>0</v>
      </c>
      <c r="I62" s="4">
        <f t="shared" si="21"/>
        <v>0</v>
      </c>
      <c r="J62" s="4">
        <f t="shared" si="22"/>
        <v>0</v>
      </c>
      <c r="K62" s="4">
        <v>0.02</v>
      </c>
      <c r="L62" s="4">
        <f t="shared" si="23"/>
        <v>0.1518</v>
      </c>
      <c r="M62" s="72" t="s">
        <v>643</v>
      </c>
      <c r="P62" s="23">
        <f t="shared" si="24"/>
        <v>0</v>
      </c>
      <c r="R62" s="23">
        <f t="shared" si="25"/>
        <v>0</v>
      </c>
      <c r="S62" s="23">
        <f t="shared" si="26"/>
        <v>0</v>
      </c>
      <c r="T62" s="23">
        <f t="shared" si="27"/>
        <v>0</v>
      </c>
      <c r="U62" s="23">
        <f t="shared" si="28"/>
        <v>0</v>
      </c>
      <c r="V62" s="23">
        <f t="shared" si="29"/>
        <v>0</v>
      </c>
      <c r="W62" s="23">
        <f t="shared" si="30"/>
        <v>0</v>
      </c>
      <c r="X62" s="23">
        <f t="shared" si="31"/>
        <v>0</v>
      </c>
      <c r="Y62" s="67" t="s">
        <v>172</v>
      </c>
      <c r="Z62" s="4">
        <f t="shared" si="32"/>
        <v>0</v>
      </c>
      <c r="AA62" s="4">
        <f t="shared" si="33"/>
        <v>0</v>
      </c>
      <c r="AB62" s="4">
        <f t="shared" si="34"/>
        <v>0</v>
      </c>
      <c r="AD62" s="23">
        <v>21</v>
      </c>
      <c r="AE62" s="23">
        <f>G62*0.0973333333333333</f>
        <v>0</v>
      </c>
      <c r="AF62" s="23">
        <f>G62*(1-0.0973333333333333)</f>
        <v>0</v>
      </c>
      <c r="AG62" s="72" t="s">
        <v>7</v>
      </c>
      <c r="AM62" s="23">
        <f t="shared" si="35"/>
        <v>0</v>
      </c>
      <c r="AN62" s="23">
        <f t="shared" si="36"/>
        <v>0</v>
      </c>
      <c r="AO62" s="75" t="s">
        <v>664</v>
      </c>
      <c r="AP62" s="75" t="s">
        <v>691</v>
      </c>
      <c r="AQ62" s="67" t="s">
        <v>709</v>
      </c>
      <c r="AS62" s="23">
        <f t="shared" si="37"/>
        <v>0</v>
      </c>
      <c r="AT62" s="23">
        <f t="shared" si="38"/>
        <v>0</v>
      </c>
      <c r="AU62" s="23">
        <v>0</v>
      </c>
      <c r="AV62" s="23">
        <f t="shared" si="39"/>
        <v>0.1518</v>
      </c>
    </row>
    <row r="63" spans="1:48" ht="12.75">
      <c r="A63" s="1" t="s">
        <v>46</v>
      </c>
      <c r="B63" s="1" t="s">
        <v>172</v>
      </c>
      <c r="C63" s="1" t="s">
        <v>217</v>
      </c>
      <c r="D63" s="1" t="s">
        <v>400</v>
      </c>
      <c r="E63" s="1" t="s">
        <v>552</v>
      </c>
      <c r="F63" s="4">
        <f>'Rozpočet - vybrané sloupce'!BA62</f>
        <v>116.35</v>
      </c>
      <c r="G63" s="6">
        <f>'Rozpočet - vybrané sloupce'!BF62</f>
        <v>0</v>
      </c>
      <c r="H63" s="4">
        <f t="shared" si="20"/>
        <v>0</v>
      </c>
      <c r="I63" s="4">
        <f t="shared" si="21"/>
        <v>0</v>
      </c>
      <c r="J63" s="4">
        <f t="shared" si="22"/>
        <v>0</v>
      </c>
      <c r="K63" s="4">
        <v>2.525</v>
      </c>
      <c r="L63" s="4">
        <f t="shared" si="23"/>
        <v>293.78375</v>
      </c>
      <c r="M63" s="72" t="s">
        <v>643</v>
      </c>
      <c r="P63" s="23">
        <f t="shared" si="24"/>
        <v>0</v>
      </c>
      <c r="R63" s="23">
        <f t="shared" si="25"/>
        <v>0</v>
      </c>
      <c r="S63" s="23">
        <f t="shared" si="26"/>
        <v>0</v>
      </c>
      <c r="T63" s="23">
        <f t="shared" si="27"/>
        <v>0</v>
      </c>
      <c r="U63" s="23">
        <f t="shared" si="28"/>
        <v>0</v>
      </c>
      <c r="V63" s="23">
        <f t="shared" si="29"/>
        <v>0</v>
      </c>
      <c r="W63" s="23">
        <f t="shared" si="30"/>
        <v>0</v>
      </c>
      <c r="X63" s="23">
        <f t="shared" si="31"/>
        <v>0</v>
      </c>
      <c r="Y63" s="67" t="s">
        <v>172</v>
      </c>
      <c r="Z63" s="4">
        <f t="shared" si="32"/>
        <v>0</v>
      </c>
      <c r="AA63" s="4">
        <f t="shared" si="33"/>
        <v>0</v>
      </c>
      <c r="AB63" s="4">
        <f t="shared" si="34"/>
        <v>0</v>
      </c>
      <c r="AD63" s="23">
        <v>21</v>
      </c>
      <c r="AE63" s="23">
        <f>G63*0.730637672796302</f>
        <v>0</v>
      </c>
      <c r="AF63" s="23">
        <f>G63*(1-0.730637672796302)</f>
        <v>0</v>
      </c>
      <c r="AG63" s="72" t="s">
        <v>7</v>
      </c>
      <c r="AM63" s="23">
        <f t="shared" si="35"/>
        <v>0</v>
      </c>
      <c r="AN63" s="23">
        <f t="shared" si="36"/>
        <v>0</v>
      </c>
      <c r="AO63" s="75" t="s">
        <v>664</v>
      </c>
      <c r="AP63" s="75" t="s">
        <v>691</v>
      </c>
      <c r="AQ63" s="67" t="s">
        <v>709</v>
      </c>
      <c r="AS63" s="23">
        <f t="shared" si="37"/>
        <v>0</v>
      </c>
      <c r="AT63" s="23">
        <f t="shared" si="38"/>
        <v>0</v>
      </c>
      <c r="AU63" s="23">
        <v>0</v>
      </c>
      <c r="AV63" s="23">
        <f t="shared" si="39"/>
        <v>293.78375</v>
      </c>
    </row>
    <row r="64" spans="1:37" ht="12.75">
      <c r="A64" s="52"/>
      <c r="B64" s="58" t="s">
        <v>172</v>
      </c>
      <c r="C64" s="58" t="s">
        <v>70</v>
      </c>
      <c r="D64" s="58" t="s">
        <v>401</v>
      </c>
      <c r="E64" s="52" t="s">
        <v>6</v>
      </c>
      <c r="F64" s="52" t="s">
        <v>6</v>
      </c>
      <c r="G64" s="64" t="s">
        <v>6</v>
      </c>
      <c r="H64" s="9">
        <f>SUM(H65:H72)</f>
        <v>0</v>
      </c>
      <c r="I64" s="9">
        <f>SUM(I65:I72)</f>
        <v>0</v>
      </c>
      <c r="J64" s="9">
        <f>H64+I64</f>
        <v>0</v>
      </c>
      <c r="K64" s="67"/>
      <c r="L64" s="9">
        <f>SUM(L65:L72)</f>
        <v>1.3850999999999998</v>
      </c>
      <c r="M64" s="67"/>
      <c r="Y64" s="67" t="s">
        <v>172</v>
      </c>
      <c r="AI64" s="9">
        <f>SUM(Z65:Z72)</f>
        <v>0</v>
      </c>
      <c r="AJ64" s="9">
        <f>SUM(AA65:AA72)</f>
        <v>0</v>
      </c>
      <c r="AK64" s="9">
        <f>SUM(AB65:AB72)</f>
        <v>0</v>
      </c>
    </row>
    <row r="65" spans="1:48" ht="12.75">
      <c r="A65" s="1" t="s">
        <v>47</v>
      </c>
      <c r="B65" s="1" t="s">
        <v>172</v>
      </c>
      <c r="C65" s="1" t="s">
        <v>218</v>
      </c>
      <c r="D65" s="1" t="s">
        <v>402</v>
      </c>
      <c r="E65" s="1" t="s">
        <v>555</v>
      </c>
      <c r="F65" s="4">
        <f>'Rozpočet - vybrané sloupce'!BA64</f>
        <v>12</v>
      </c>
      <c r="G65" s="6">
        <f>'Rozpočet - vybrané sloupce'!BF64</f>
        <v>0</v>
      </c>
      <c r="H65" s="4">
        <f aca="true" t="shared" si="40" ref="H65:H72">F65*AE65</f>
        <v>0</v>
      </c>
      <c r="I65" s="4">
        <f aca="true" t="shared" si="41" ref="I65:I72">J65-H65</f>
        <v>0</v>
      </c>
      <c r="J65" s="4">
        <f aca="true" t="shared" si="42" ref="J65:J72">F65*G65</f>
        <v>0</v>
      </c>
      <c r="K65" s="4">
        <v>0.0469</v>
      </c>
      <c r="L65" s="4">
        <f aca="true" t="shared" si="43" ref="L65:L72">F65*K65</f>
        <v>0.5628</v>
      </c>
      <c r="M65" s="72" t="s">
        <v>643</v>
      </c>
      <c r="P65" s="23">
        <f aca="true" t="shared" si="44" ref="P65:P72">IF(AG65="5",J65,0)</f>
        <v>0</v>
      </c>
      <c r="R65" s="23">
        <f aca="true" t="shared" si="45" ref="R65:R72">IF(AG65="1",H65,0)</f>
        <v>0</v>
      </c>
      <c r="S65" s="23">
        <f aca="true" t="shared" si="46" ref="S65:S72">IF(AG65="1",I65,0)</f>
        <v>0</v>
      </c>
      <c r="T65" s="23">
        <f aca="true" t="shared" si="47" ref="T65:T72">IF(AG65="7",H65,0)</f>
        <v>0</v>
      </c>
      <c r="U65" s="23">
        <f aca="true" t="shared" si="48" ref="U65:U72">IF(AG65="7",I65,0)</f>
        <v>0</v>
      </c>
      <c r="V65" s="23">
        <f aca="true" t="shared" si="49" ref="V65:V72">IF(AG65="2",H65,0)</f>
        <v>0</v>
      </c>
      <c r="W65" s="23">
        <f aca="true" t="shared" si="50" ref="W65:W72">IF(AG65="2",I65,0)</f>
        <v>0</v>
      </c>
      <c r="X65" s="23">
        <f aca="true" t="shared" si="51" ref="X65:X72">IF(AG65="0",J65,0)</f>
        <v>0</v>
      </c>
      <c r="Y65" s="67" t="s">
        <v>172</v>
      </c>
      <c r="Z65" s="4">
        <f aca="true" t="shared" si="52" ref="Z65:Z72">IF(AD65=0,J65,0)</f>
        <v>0</v>
      </c>
      <c r="AA65" s="4">
        <f aca="true" t="shared" si="53" ref="AA65:AA72">IF(AD65=15,J65,0)</f>
        <v>0</v>
      </c>
      <c r="AB65" s="4">
        <f aca="true" t="shared" si="54" ref="AB65:AB72">IF(AD65=21,J65,0)</f>
        <v>0</v>
      </c>
      <c r="AD65" s="23">
        <v>21</v>
      </c>
      <c r="AE65" s="23">
        <f aca="true" t="shared" si="55" ref="AE65:AE72">G65*1</f>
        <v>0</v>
      </c>
      <c r="AF65" s="23">
        <f aca="true" t="shared" si="56" ref="AF65:AF72">G65*(1-1)</f>
        <v>0</v>
      </c>
      <c r="AG65" s="72" t="s">
        <v>7</v>
      </c>
      <c r="AM65" s="23">
        <f aca="true" t="shared" si="57" ref="AM65:AM72">F65*AE65</f>
        <v>0</v>
      </c>
      <c r="AN65" s="23">
        <f aca="true" t="shared" si="58" ref="AN65:AN72">F65*AF65</f>
        <v>0</v>
      </c>
      <c r="AO65" s="75" t="s">
        <v>665</v>
      </c>
      <c r="AP65" s="75" t="s">
        <v>691</v>
      </c>
      <c r="AQ65" s="67" t="s">
        <v>709</v>
      </c>
      <c r="AS65" s="23">
        <f aca="true" t="shared" si="59" ref="AS65:AS72">AM65+AN65</f>
        <v>0</v>
      </c>
      <c r="AT65" s="23">
        <f aca="true" t="shared" si="60" ref="AT65:AT72">G65/(100-AU65)*100</f>
        <v>0</v>
      </c>
      <c r="AU65" s="23">
        <v>0</v>
      </c>
      <c r="AV65" s="23">
        <f aca="true" t="shared" si="61" ref="AV65:AV72">L65</f>
        <v>0.5628</v>
      </c>
    </row>
    <row r="66" spans="1:48" ht="12.75">
      <c r="A66" s="1" t="s">
        <v>48</v>
      </c>
      <c r="B66" s="1" t="s">
        <v>172</v>
      </c>
      <c r="C66" s="1" t="s">
        <v>219</v>
      </c>
      <c r="D66" s="1" t="s">
        <v>403</v>
      </c>
      <c r="E66" s="1" t="s">
        <v>555</v>
      </c>
      <c r="F66" s="4">
        <f>'Rozpočet - vybrané sloupce'!BA65</f>
        <v>2</v>
      </c>
      <c r="G66" s="6">
        <f>'Rozpočet - vybrané sloupce'!BF65</f>
        <v>0</v>
      </c>
      <c r="H66" s="4">
        <f t="shared" si="40"/>
        <v>0</v>
      </c>
      <c r="I66" s="4">
        <f t="shared" si="41"/>
        <v>0</v>
      </c>
      <c r="J66" s="4">
        <f t="shared" si="42"/>
        <v>0</v>
      </c>
      <c r="K66" s="4">
        <v>0.03125</v>
      </c>
      <c r="L66" s="4">
        <f t="shared" si="43"/>
        <v>0.0625</v>
      </c>
      <c r="M66" s="72" t="s">
        <v>643</v>
      </c>
      <c r="P66" s="23">
        <f t="shared" si="44"/>
        <v>0</v>
      </c>
      <c r="R66" s="23">
        <f t="shared" si="45"/>
        <v>0</v>
      </c>
      <c r="S66" s="23">
        <f t="shared" si="46"/>
        <v>0</v>
      </c>
      <c r="T66" s="23">
        <f t="shared" si="47"/>
        <v>0</v>
      </c>
      <c r="U66" s="23">
        <f t="shared" si="48"/>
        <v>0</v>
      </c>
      <c r="V66" s="23">
        <f t="shared" si="49"/>
        <v>0</v>
      </c>
      <c r="W66" s="23">
        <f t="shared" si="50"/>
        <v>0</v>
      </c>
      <c r="X66" s="23">
        <f t="shared" si="51"/>
        <v>0</v>
      </c>
      <c r="Y66" s="67" t="s">
        <v>172</v>
      </c>
      <c r="Z66" s="4">
        <f t="shared" si="52"/>
        <v>0</v>
      </c>
      <c r="AA66" s="4">
        <f t="shared" si="53"/>
        <v>0</v>
      </c>
      <c r="AB66" s="4">
        <f t="shared" si="54"/>
        <v>0</v>
      </c>
      <c r="AD66" s="23">
        <v>21</v>
      </c>
      <c r="AE66" s="23">
        <f t="shared" si="55"/>
        <v>0</v>
      </c>
      <c r="AF66" s="23">
        <f t="shared" si="56"/>
        <v>0</v>
      </c>
      <c r="AG66" s="72" t="s">
        <v>7</v>
      </c>
      <c r="AM66" s="23">
        <f t="shared" si="57"/>
        <v>0</v>
      </c>
      <c r="AN66" s="23">
        <f t="shared" si="58"/>
        <v>0</v>
      </c>
      <c r="AO66" s="75" t="s">
        <v>665</v>
      </c>
      <c r="AP66" s="75" t="s">
        <v>691</v>
      </c>
      <c r="AQ66" s="67" t="s">
        <v>709</v>
      </c>
      <c r="AS66" s="23">
        <f t="shared" si="59"/>
        <v>0</v>
      </c>
      <c r="AT66" s="23">
        <f t="shared" si="60"/>
        <v>0</v>
      </c>
      <c r="AU66" s="23">
        <v>0</v>
      </c>
      <c r="AV66" s="23">
        <f t="shared" si="61"/>
        <v>0.0625</v>
      </c>
    </row>
    <row r="67" spans="1:48" ht="12.75">
      <c r="A67" s="1" t="s">
        <v>49</v>
      </c>
      <c r="B67" s="1" t="s">
        <v>172</v>
      </c>
      <c r="C67" s="1" t="s">
        <v>220</v>
      </c>
      <c r="D67" s="1" t="s">
        <v>404</v>
      </c>
      <c r="E67" s="1" t="s">
        <v>557</v>
      </c>
      <c r="F67" s="4">
        <f>'Rozpočet - vybrané sloupce'!BA66</f>
        <v>2</v>
      </c>
      <c r="G67" s="6">
        <f>'Rozpočet - vybrané sloupce'!BF66</f>
        <v>0</v>
      </c>
      <c r="H67" s="4">
        <f t="shared" si="40"/>
        <v>0</v>
      </c>
      <c r="I67" s="4">
        <f t="shared" si="41"/>
        <v>0</v>
      </c>
      <c r="J67" s="4">
        <f t="shared" si="42"/>
        <v>0</v>
      </c>
      <c r="K67" s="4">
        <v>0.09</v>
      </c>
      <c r="L67" s="4">
        <f t="shared" si="43"/>
        <v>0.18</v>
      </c>
      <c r="M67" s="72" t="s">
        <v>643</v>
      </c>
      <c r="P67" s="23">
        <f t="shared" si="44"/>
        <v>0</v>
      </c>
      <c r="R67" s="23">
        <f t="shared" si="45"/>
        <v>0</v>
      </c>
      <c r="S67" s="23">
        <f t="shared" si="46"/>
        <v>0</v>
      </c>
      <c r="T67" s="23">
        <f t="shared" si="47"/>
        <v>0</v>
      </c>
      <c r="U67" s="23">
        <f t="shared" si="48"/>
        <v>0</v>
      </c>
      <c r="V67" s="23">
        <f t="shared" si="49"/>
        <v>0</v>
      </c>
      <c r="W67" s="23">
        <f t="shared" si="50"/>
        <v>0</v>
      </c>
      <c r="X67" s="23">
        <f t="shared" si="51"/>
        <v>0</v>
      </c>
      <c r="Y67" s="67" t="s">
        <v>172</v>
      </c>
      <c r="Z67" s="4">
        <f t="shared" si="52"/>
        <v>0</v>
      </c>
      <c r="AA67" s="4">
        <f t="shared" si="53"/>
        <v>0</v>
      </c>
      <c r="AB67" s="4">
        <f t="shared" si="54"/>
        <v>0</v>
      </c>
      <c r="AD67" s="23">
        <v>21</v>
      </c>
      <c r="AE67" s="23">
        <f t="shared" si="55"/>
        <v>0</v>
      </c>
      <c r="AF67" s="23">
        <f t="shared" si="56"/>
        <v>0</v>
      </c>
      <c r="AG67" s="72" t="s">
        <v>7</v>
      </c>
      <c r="AM67" s="23">
        <f t="shared" si="57"/>
        <v>0</v>
      </c>
      <c r="AN67" s="23">
        <f t="shared" si="58"/>
        <v>0</v>
      </c>
      <c r="AO67" s="75" t="s">
        <v>665</v>
      </c>
      <c r="AP67" s="75" t="s">
        <v>691</v>
      </c>
      <c r="AQ67" s="67" t="s">
        <v>709</v>
      </c>
      <c r="AS67" s="23">
        <f t="shared" si="59"/>
        <v>0</v>
      </c>
      <c r="AT67" s="23">
        <f t="shared" si="60"/>
        <v>0</v>
      </c>
      <c r="AU67" s="23">
        <v>0</v>
      </c>
      <c r="AV67" s="23">
        <f t="shared" si="61"/>
        <v>0.18</v>
      </c>
    </row>
    <row r="68" spans="1:48" ht="12.75">
      <c r="A68" s="1" t="s">
        <v>50</v>
      </c>
      <c r="B68" s="1" t="s">
        <v>172</v>
      </c>
      <c r="C68" s="1" t="s">
        <v>221</v>
      </c>
      <c r="D68" s="1" t="s">
        <v>405</v>
      </c>
      <c r="E68" s="1" t="s">
        <v>557</v>
      </c>
      <c r="F68" s="4">
        <f>'Rozpočet - vybrané sloupce'!BA67</f>
        <v>2</v>
      </c>
      <c r="G68" s="6">
        <f>'Rozpočet - vybrané sloupce'!BF67</f>
        <v>0</v>
      </c>
      <c r="H68" s="4">
        <f t="shared" si="40"/>
        <v>0</v>
      </c>
      <c r="I68" s="4">
        <f t="shared" si="41"/>
        <v>0</v>
      </c>
      <c r="J68" s="4">
        <f t="shared" si="42"/>
        <v>0</v>
      </c>
      <c r="K68" s="4">
        <v>0.1485</v>
      </c>
      <c r="L68" s="4">
        <f t="shared" si="43"/>
        <v>0.297</v>
      </c>
      <c r="M68" s="72" t="s">
        <v>643</v>
      </c>
      <c r="P68" s="23">
        <f t="shared" si="44"/>
        <v>0</v>
      </c>
      <c r="R68" s="23">
        <f t="shared" si="45"/>
        <v>0</v>
      </c>
      <c r="S68" s="23">
        <f t="shared" si="46"/>
        <v>0</v>
      </c>
      <c r="T68" s="23">
        <f t="shared" si="47"/>
        <v>0</v>
      </c>
      <c r="U68" s="23">
        <f t="shared" si="48"/>
        <v>0</v>
      </c>
      <c r="V68" s="23">
        <f t="shared" si="49"/>
        <v>0</v>
      </c>
      <c r="W68" s="23">
        <f t="shared" si="50"/>
        <v>0</v>
      </c>
      <c r="X68" s="23">
        <f t="shared" si="51"/>
        <v>0</v>
      </c>
      <c r="Y68" s="67" t="s">
        <v>172</v>
      </c>
      <c r="Z68" s="4">
        <f t="shared" si="52"/>
        <v>0</v>
      </c>
      <c r="AA68" s="4">
        <f t="shared" si="53"/>
        <v>0</v>
      </c>
      <c r="AB68" s="4">
        <f t="shared" si="54"/>
        <v>0</v>
      </c>
      <c r="AD68" s="23">
        <v>21</v>
      </c>
      <c r="AE68" s="23">
        <f t="shared" si="55"/>
        <v>0</v>
      </c>
      <c r="AF68" s="23">
        <f t="shared" si="56"/>
        <v>0</v>
      </c>
      <c r="AG68" s="72" t="s">
        <v>7</v>
      </c>
      <c r="AM68" s="23">
        <f t="shared" si="57"/>
        <v>0</v>
      </c>
      <c r="AN68" s="23">
        <f t="shared" si="58"/>
        <v>0</v>
      </c>
      <c r="AO68" s="75" t="s">
        <v>665</v>
      </c>
      <c r="AP68" s="75" t="s">
        <v>691</v>
      </c>
      <c r="AQ68" s="67" t="s">
        <v>709</v>
      </c>
      <c r="AS68" s="23">
        <f t="shared" si="59"/>
        <v>0</v>
      </c>
      <c r="AT68" s="23">
        <f t="shared" si="60"/>
        <v>0</v>
      </c>
      <c r="AU68" s="23">
        <v>0</v>
      </c>
      <c r="AV68" s="23">
        <f t="shared" si="61"/>
        <v>0.297</v>
      </c>
    </row>
    <row r="69" spans="1:48" ht="12.75">
      <c r="A69" s="1" t="s">
        <v>51</v>
      </c>
      <c r="B69" s="1" t="s">
        <v>172</v>
      </c>
      <c r="C69" s="1" t="s">
        <v>222</v>
      </c>
      <c r="D69" s="1" t="s">
        <v>406</v>
      </c>
      <c r="E69" s="1" t="s">
        <v>555</v>
      </c>
      <c r="F69" s="4">
        <f>'Rozpočet - vybrané sloupce'!BA68</f>
        <v>2</v>
      </c>
      <c r="G69" s="6">
        <f>'Rozpočet - vybrané sloupce'!BF68</f>
        <v>0</v>
      </c>
      <c r="H69" s="4">
        <f t="shared" si="40"/>
        <v>0</v>
      </c>
      <c r="I69" s="4">
        <f t="shared" si="41"/>
        <v>0</v>
      </c>
      <c r="J69" s="4">
        <f t="shared" si="42"/>
        <v>0</v>
      </c>
      <c r="K69" s="4">
        <v>0</v>
      </c>
      <c r="L69" s="4">
        <f t="shared" si="43"/>
        <v>0</v>
      </c>
      <c r="M69" s="72" t="s">
        <v>643</v>
      </c>
      <c r="P69" s="23">
        <f t="shared" si="44"/>
        <v>0</v>
      </c>
      <c r="R69" s="23">
        <f t="shared" si="45"/>
        <v>0</v>
      </c>
      <c r="S69" s="23">
        <f t="shared" si="46"/>
        <v>0</v>
      </c>
      <c r="T69" s="23">
        <f t="shared" si="47"/>
        <v>0</v>
      </c>
      <c r="U69" s="23">
        <f t="shared" si="48"/>
        <v>0</v>
      </c>
      <c r="V69" s="23">
        <f t="shared" si="49"/>
        <v>0</v>
      </c>
      <c r="W69" s="23">
        <f t="shared" si="50"/>
        <v>0</v>
      </c>
      <c r="X69" s="23">
        <f t="shared" si="51"/>
        <v>0</v>
      </c>
      <c r="Y69" s="67" t="s">
        <v>172</v>
      </c>
      <c r="Z69" s="4">
        <f t="shared" si="52"/>
        <v>0</v>
      </c>
      <c r="AA69" s="4">
        <f t="shared" si="53"/>
        <v>0</v>
      </c>
      <c r="AB69" s="4">
        <f t="shared" si="54"/>
        <v>0</v>
      </c>
      <c r="AD69" s="23">
        <v>21</v>
      </c>
      <c r="AE69" s="23">
        <f t="shared" si="55"/>
        <v>0</v>
      </c>
      <c r="AF69" s="23">
        <f t="shared" si="56"/>
        <v>0</v>
      </c>
      <c r="AG69" s="72" t="s">
        <v>7</v>
      </c>
      <c r="AM69" s="23">
        <f t="shared" si="57"/>
        <v>0</v>
      </c>
      <c r="AN69" s="23">
        <f t="shared" si="58"/>
        <v>0</v>
      </c>
      <c r="AO69" s="75" t="s">
        <v>665</v>
      </c>
      <c r="AP69" s="75" t="s">
        <v>691</v>
      </c>
      <c r="AQ69" s="67" t="s">
        <v>709</v>
      </c>
      <c r="AS69" s="23">
        <f t="shared" si="59"/>
        <v>0</v>
      </c>
      <c r="AT69" s="23">
        <f t="shared" si="60"/>
        <v>0</v>
      </c>
      <c r="AU69" s="23">
        <v>0</v>
      </c>
      <c r="AV69" s="23">
        <f t="shared" si="61"/>
        <v>0</v>
      </c>
    </row>
    <row r="70" spans="1:48" ht="12.75">
      <c r="A70" s="1" t="s">
        <v>52</v>
      </c>
      <c r="B70" s="1" t="s">
        <v>172</v>
      </c>
      <c r="C70" s="1" t="s">
        <v>223</v>
      </c>
      <c r="D70" s="1" t="s">
        <v>407</v>
      </c>
      <c r="E70" s="1" t="s">
        <v>555</v>
      </c>
      <c r="F70" s="4">
        <f>'Rozpočet - vybrané sloupce'!BA69</f>
        <v>4</v>
      </c>
      <c r="G70" s="6">
        <f>'Rozpočet - vybrané sloupce'!BF69</f>
        <v>0</v>
      </c>
      <c r="H70" s="4">
        <f t="shared" si="40"/>
        <v>0</v>
      </c>
      <c r="I70" s="4">
        <f t="shared" si="41"/>
        <v>0</v>
      </c>
      <c r="J70" s="4">
        <f t="shared" si="42"/>
        <v>0</v>
      </c>
      <c r="K70" s="4">
        <v>0</v>
      </c>
      <c r="L70" s="4">
        <f t="shared" si="43"/>
        <v>0</v>
      </c>
      <c r="M70" s="72" t="s">
        <v>643</v>
      </c>
      <c r="P70" s="23">
        <f t="shared" si="44"/>
        <v>0</v>
      </c>
      <c r="R70" s="23">
        <f t="shared" si="45"/>
        <v>0</v>
      </c>
      <c r="S70" s="23">
        <f t="shared" si="46"/>
        <v>0</v>
      </c>
      <c r="T70" s="23">
        <f t="shared" si="47"/>
        <v>0</v>
      </c>
      <c r="U70" s="23">
        <f t="shared" si="48"/>
        <v>0</v>
      </c>
      <c r="V70" s="23">
        <f t="shared" si="49"/>
        <v>0</v>
      </c>
      <c r="W70" s="23">
        <f t="shared" si="50"/>
        <v>0</v>
      </c>
      <c r="X70" s="23">
        <f t="shared" si="51"/>
        <v>0</v>
      </c>
      <c r="Y70" s="67" t="s">
        <v>172</v>
      </c>
      <c r="Z70" s="4">
        <f t="shared" si="52"/>
        <v>0</v>
      </c>
      <c r="AA70" s="4">
        <f t="shared" si="53"/>
        <v>0</v>
      </c>
      <c r="AB70" s="4">
        <f t="shared" si="54"/>
        <v>0</v>
      </c>
      <c r="AD70" s="23">
        <v>21</v>
      </c>
      <c r="AE70" s="23">
        <f t="shared" si="55"/>
        <v>0</v>
      </c>
      <c r="AF70" s="23">
        <f t="shared" si="56"/>
        <v>0</v>
      </c>
      <c r="AG70" s="72" t="s">
        <v>7</v>
      </c>
      <c r="AM70" s="23">
        <f t="shared" si="57"/>
        <v>0</v>
      </c>
      <c r="AN70" s="23">
        <f t="shared" si="58"/>
        <v>0</v>
      </c>
      <c r="AO70" s="75" t="s">
        <v>665</v>
      </c>
      <c r="AP70" s="75" t="s">
        <v>691</v>
      </c>
      <c r="AQ70" s="67" t="s">
        <v>709</v>
      </c>
      <c r="AS70" s="23">
        <f t="shared" si="59"/>
        <v>0</v>
      </c>
      <c r="AT70" s="23">
        <f t="shared" si="60"/>
        <v>0</v>
      </c>
      <c r="AU70" s="23">
        <v>0</v>
      </c>
      <c r="AV70" s="23">
        <f t="shared" si="61"/>
        <v>0</v>
      </c>
    </row>
    <row r="71" spans="1:48" ht="12.75">
      <c r="A71" s="1" t="s">
        <v>53</v>
      </c>
      <c r="B71" s="1" t="s">
        <v>172</v>
      </c>
      <c r="C71" s="1" t="s">
        <v>224</v>
      </c>
      <c r="D71" s="1" t="s">
        <v>408</v>
      </c>
      <c r="E71" s="1" t="s">
        <v>555</v>
      </c>
      <c r="F71" s="4">
        <f>'Rozpočet - vybrané sloupce'!BA70</f>
        <v>6</v>
      </c>
      <c r="G71" s="6">
        <f>'Rozpočet - vybrané sloupce'!BF70</f>
        <v>0</v>
      </c>
      <c r="H71" s="4">
        <f t="shared" si="40"/>
        <v>0</v>
      </c>
      <c r="I71" s="4">
        <f t="shared" si="41"/>
        <v>0</v>
      </c>
      <c r="J71" s="4">
        <f t="shared" si="42"/>
        <v>0</v>
      </c>
      <c r="K71" s="4">
        <v>0</v>
      </c>
      <c r="L71" s="4">
        <f t="shared" si="43"/>
        <v>0</v>
      </c>
      <c r="M71" s="72" t="s">
        <v>643</v>
      </c>
      <c r="P71" s="23">
        <f t="shared" si="44"/>
        <v>0</v>
      </c>
      <c r="R71" s="23">
        <f t="shared" si="45"/>
        <v>0</v>
      </c>
      <c r="S71" s="23">
        <f t="shared" si="46"/>
        <v>0</v>
      </c>
      <c r="T71" s="23">
        <f t="shared" si="47"/>
        <v>0</v>
      </c>
      <c r="U71" s="23">
        <f t="shared" si="48"/>
        <v>0</v>
      </c>
      <c r="V71" s="23">
        <f t="shared" si="49"/>
        <v>0</v>
      </c>
      <c r="W71" s="23">
        <f t="shared" si="50"/>
        <v>0</v>
      </c>
      <c r="X71" s="23">
        <f t="shared" si="51"/>
        <v>0</v>
      </c>
      <c r="Y71" s="67" t="s">
        <v>172</v>
      </c>
      <c r="Z71" s="4">
        <f t="shared" si="52"/>
        <v>0</v>
      </c>
      <c r="AA71" s="4">
        <f t="shared" si="53"/>
        <v>0</v>
      </c>
      <c r="AB71" s="4">
        <f t="shared" si="54"/>
        <v>0</v>
      </c>
      <c r="AD71" s="23">
        <v>21</v>
      </c>
      <c r="AE71" s="23">
        <f t="shared" si="55"/>
        <v>0</v>
      </c>
      <c r="AF71" s="23">
        <f t="shared" si="56"/>
        <v>0</v>
      </c>
      <c r="AG71" s="72" t="s">
        <v>7</v>
      </c>
      <c r="AM71" s="23">
        <f t="shared" si="57"/>
        <v>0</v>
      </c>
      <c r="AN71" s="23">
        <f t="shared" si="58"/>
        <v>0</v>
      </c>
      <c r="AO71" s="75" t="s">
        <v>665</v>
      </c>
      <c r="AP71" s="75" t="s">
        <v>691</v>
      </c>
      <c r="AQ71" s="67" t="s">
        <v>709</v>
      </c>
      <c r="AS71" s="23">
        <f t="shared" si="59"/>
        <v>0</v>
      </c>
      <c r="AT71" s="23">
        <f t="shared" si="60"/>
        <v>0</v>
      </c>
      <c r="AU71" s="23">
        <v>0</v>
      </c>
      <c r="AV71" s="23">
        <f t="shared" si="61"/>
        <v>0</v>
      </c>
    </row>
    <row r="72" spans="1:48" ht="12.75">
      <c r="A72" s="1" t="s">
        <v>54</v>
      </c>
      <c r="B72" s="1" t="s">
        <v>172</v>
      </c>
      <c r="C72" s="1" t="s">
        <v>225</v>
      </c>
      <c r="D72" s="1" t="s">
        <v>409</v>
      </c>
      <c r="E72" s="1" t="s">
        <v>555</v>
      </c>
      <c r="F72" s="4">
        <f>'Rozpočet - vybrané sloupce'!BA71</f>
        <v>4</v>
      </c>
      <c r="G72" s="6">
        <f>'Rozpočet - vybrané sloupce'!BF71</f>
        <v>0</v>
      </c>
      <c r="H72" s="4">
        <f t="shared" si="40"/>
        <v>0</v>
      </c>
      <c r="I72" s="4">
        <f t="shared" si="41"/>
        <v>0</v>
      </c>
      <c r="J72" s="4">
        <f t="shared" si="42"/>
        <v>0</v>
      </c>
      <c r="K72" s="4">
        <v>0.0707</v>
      </c>
      <c r="L72" s="4">
        <f t="shared" si="43"/>
        <v>0.2828</v>
      </c>
      <c r="M72" s="72" t="s">
        <v>643</v>
      </c>
      <c r="P72" s="23">
        <f t="shared" si="44"/>
        <v>0</v>
      </c>
      <c r="R72" s="23">
        <f t="shared" si="45"/>
        <v>0</v>
      </c>
      <c r="S72" s="23">
        <f t="shared" si="46"/>
        <v>0</v>
      </c>
      <c r="T72" s="23">
        <f t="shared" si="47"/>
        <v>0</v>
      </c>
      <c r="U72" s="23">
        <f t="shared" si="48"/>
        <v>0</v>
      </c>
      <c r="V72" s="23">
        <f t="shared" si="49"/>
        <v>0</v>
      </c>
      <c r="W72" s="23">
        <f t="shared" si="50"/>
        <v>0</v>
      </c>
      <c r="X72" s="23">
        <f t="shared" si="51"/>
        <v>0</v>
      </c>
      <c r="Y72" s="67" t="s">
        <v>172</v>
      </c>
      <c r="Z72" s="4">
        <f t="shared" si="52"/>
        <v>0</v>
      </c>
      <c r="AA72" s="4">
        <f t="shared" si="53"/>
        <v>0</v>
      </c>
      <c r="AB72" s="4">
        <f t="shared" si="54"/>
        <v>0</v>
      </c>
      <c r="AD72" s="23">
        <v>21</v>
      </c>
      <c r="AE72" s="23">
        <f t="shared" si="55"/>
        <v>0</v>
      </c>
      <c r="AF72" s="23">
        <f t="shared" si="56"/>
        <v>0</v>
      </c>
      <c r="AG72" s="72" t="s">
        <v>7</v>
      </c>
      <c r="AM72" s="23">
        <f t="shared" si="57"/>
        <v>0</v>
      </c>
      <c r="AN72" s="23">
        <f t="shared" si="58"/>
        <v>0</v>
      </c>
      <c r="AO72" s="75" t="s">
        <v>665</v>
      </c>
      <c r="AP72" s="75" t="s">
        <v>691</v>
      </c>
      <c r="AQ72" s="67" t="s">
        <v>709</v>
      </c>
      <c r="AS72" s="23">
        <f t="shared" si="59"/>
        <v>0</v>
      </c>
      <c r="AT72" s="23">
        <f t="shared" si="60"/>
        <v>0</v>
      </c>
      <c r="AU72" s="23">
        <v>0</v>
      </c>
      <c r="AV72" s="23">
        <f t="shared" si="61"/>
        <v>0.2828</v>
      </c>
    </row>
    <row r="73" spans="1:37" ht="12.75">
      <c r="A73" s="52"/>
      <c r="B73" s="58" t="s">
        <v>172</v>
      </c>
      <c r="C73" s="58" t="s">
        <v>226</v>
      </c>
      <c r="D73" s="58" t="s">
        <v>410</v>
      </c>
      <c r="E73" s="52" t="s">
        <v>6</v>
      </c>
      <c r="F73" s="52" t="s">
        <v>6</v>
      </c>
      <c r="G73" s="64" t="s">
        <v>6</v>
      </c>
      <c r="H73" s="9">
        <f>SUM(H74:H78)</f>
        <v>0</v>
      </c>
      <c r="I73" s="9">
        <f>SUM(I74:I78)</f>
        <v>0</v>
      </c>
      <c r="J73" s="9">
        <f>H73+I73</f>
        <v>0</v>
      </c>
      <c r="K73" s="67"/>
      <c r="L73" s="9">
        <f>SUM(L74:L78)</f>
        <v>0.49247100000000005</v>
      </c>
      <c r="M73" s="67"/>
      <c r="Y73" s="67" t="s">
        <v>172</v>
      </c>
      <c r="AI73" s="9">
        <f>SUM(Z74:Z78)</f>
        <v>0</v>
      </c>
      <c r="AJ73" s="9">
        <f>SUM(AA74:AA78)</f>
        <v>0</v>
      </c>
      <c r="AK73" s="9">
        <f>SUM(AB74:AB78)</f>
        <v>0</v>
      </c>
    </row>
    <row r="74" spans="1:48" ht="12.75">
      <c r="A74" s="1" t="s">
        <v>55</v>
      </c>
      <c r="B74" s="1" t="s">
        <v>172</v>
      </c>
      <c r="C74" s="1" t="s">
        <v>227</v>
      </c>
      <c r="D74" s="1" t="s">
        <v>411</v>
      </c>
      <c r="E74" s="1" t="s">
        <v>554</v>
      </c>
      <c r="F74" s="4">
        <f>'Rozpočet - vybrané sloupce'!BA73</f>
        <v>641.45</v>
      </c>
      <c r="G74" s="6">
        <f>'Rozpočet - vybrané sloupce'!BF73</f>
        <v>0</v>
      </c>
      <c r="H74" s="4">
        <f>F74*AE74</f>
        <v>0</v>
      </c>
      <c r="I74" s="4">
        <f>J74-H74</f>
        <v>0</v>
      </c>
      <c r="J74" s="4">
        <f>F74*G74</f>
        <v>0</v>
      </c>
      <c r="K74" s="4">
        <v>0.00033</v>
      </c>
      <c r="L74" s="4">
        <f>F74*K74</f>
        <v>0.21167850000000002</v>
      </c>
      <c r="M74" s="72" t="s">
        <v>643</v>
      </c>
      <c r="P74" s="23">
        <f>IF(AG74="5",J74,0)</f>
        <v>0</v>
      </c>
      <c r="R74" s="23">
        <f>IF(AG74="1",H74,0)</f>
        <v>0</v>
      </c>
      <c r="S74" s="23">
        <f>IF(AG74="1",I74,0)</f>
        <v>0</v>
      </c>
      <c r="T74" s="23">
        <f>IF(AG74="7",H74,0)</f>
        <v>0</v>
      </c>
      <c r="U74" s="23">
        <f>IF(AG74="7",I74,0)</f>
        <v>0</v>
      </c>
      <c r="V74" s="23">
        <f>IF(AG74="2",H74,0)</f>
        <v>0</v>
      </c>
      <c r="W74" s="23">
        <f>IF(AG74="2",I74,0)</f>
        <v>0</v>
      </c>
      <c r="X74" s="23">
        <f>IF(AG74="0",J74,0)</f>
        <v>0</v>
      </c>
      <c r="Y74" s="67" t="s">
        <v>172</v>
      </c>
      <c r="Z74" s="4">
        <f>IF(AD74=0,J74,0)</f>
        <v>0</v>
      </c>
      <c r="AA74" s="4">
        <f>IF(AD74=15,J74,0)</f>
        <v>0</v>
      </c>
      <c r="AB74" s="4">
        <f>IF(AD74=21,J74,0)</f>
        <v>0</v>
      </c>
      <c r="AD74" s="23">
        <v>21</v>
      </c>
      <c r="AE74" s="23">
        <f>G74*0.559672038595771</f>
        <v>0</v>
      </c>
      <c r="AF74" s="23">
        <f>G74*(1-0.559672038595771)</f>
        <v>0</v>
      </c>
      <c r="AG74" s="72" t="s">
        <v>13</v>
      </c>
      <c r="AM74" s="23">
        <f>F74*AE74</f>
        <v>0</v>
      </c>
      <c r="AN74" s="23">
        <f>F74*AF74</f>
        <v>0</v>
      </c>
      <c r="AO74" s="75" t="s">
        <v>666</v>
      </c>
      <c r="AP74" s="75" t="s">
        <v>692</v>
      </c>
      <c r="AQ74" s="67" t="s">
        <v>709</v>
      </c>
      <c r="AS74" s="23">
        <f>AM74+AN74</f>
        <v>0</v>
      </c>
      <c r="AT74" s="23">
        <f>G74/(100-AU74)*100</f>
        <v>0</v>
      </c>
      <c r="AU74" s="23">
        <v>0</v>
      </c>
      <c r="AV74" s="23">
        <f>L74</f>
        <v>0.21167850000000002</v>
      </c>
    </row>
    <row r="75" spans="1:48" ht="12.75">
      <c r="A75" s="1" t="s">
        <v>56</v>
      </c>
      <c r="B75" s="1" t="s">
        <v>172</v>
      </c>
      <c r="C75" s="1" t="s">
        <v>228</v>
      </c>
      <c r="D75" s="1" t="s">
        <v>412</v>
      </c>
      <c r="E75" s="1" t="s">
        <v>554</v>
      </c>
      <c r="F75" s="4">
        <f>'Rozpočet - vybrané sloupce'!BA74</f>
        <v>16.18</v>
      </c>
      <c r="G75" s="6">
        <f>'Rozpočet - vybrané sloupce'!BF74</f>
        <v>0</v>
      </c>
      <c r="H75" s="4">
        <f>F75*AE75</f>
        <v>0</v>
      </c>
      <c r="I75" s="4">
        <f>J75-H75</f>
        <v>0</v>
      </c>
      <c r="J75" s="4">
        <f>F75*G75</f>
        <v>0</v>
      </c>
      <c r="K75" s="4">
        <v>0.00052</v>
      </c>
      <c r="L75" s="4">
        <f>F75*K75</f>
        <v>0.008413599999999999</v>
      </c>
      <c r="M75" s="72" t="s">
        <v>643</v>
      </c>
      <c r="P75" s="23">
        <f>IF(AG75="5",J75,0)</f>
        <v>0</v>
      </c>
      <c r="R75" s="23">
        <f>IF(AG75="1",H75,0)</f>
        <v>0</v>
      </c>
      <c r="S75" s="23">
        <f>IF(AG75="1",I75,0)</f>
        <v>0</v>
      </c>
      <c r="T75" s="23">
        <f>IF(AG75="7",H75,0)</f>
        <v>0</v>
      </c>
      <c r="U75" s="23">
        <f>IF(AG75="7",I75,0)</f>
        <v>0</v>
      </c>
      <c r="V75" s="23">
        <f>IF(AG75="2",H75,0)</f>
        <v>0</v>
      </c>
      <c r="W75" s="23">
        <f>IF(AG75="2",I75,0)</f>
        <v>0</v>
      </c>
      <c r="X75" s="23">
        <f>IF(AG75="0",J75,0)</f>
        <v>0</v>
      </c>
      <c r="Y75" s="67" t="s">
        <v>172</v>
      </c>
      <c r="Z75" s="4">
        <f>IF(AD75=0,J75,0)</f>
        <v>0</v>
      </c>
      <c r="AA75" s="4">
        <f>IF(AD75=15,J75,0)</f>
        <v>0</v>
      </c>
      <c r="AB75" s="4">
        <f>IF(AD75=21,J75,0)</f>
        <v>0</v>
      </c>
      <c r="AD75" s="23">
        <v>21</v>
      </c>
      <c r="AE75" s="23">
        <f>G75*0.495157999667719</f>
        <v>0</v>
      </c>
      <c r="AF75" s="23">
        <f>G75*(1-0.495157999667719)</f>
        <v>0</v>
      </c>
      <c r="AG75" s="72" t="s">
        <v>13</v>
      </c>
      <c r="AM75" s="23">
        <f>F75*AE75</f>
        <v>0</v>
      </c>
      <c r="AN75" s="23">
        <f>F75*AF75</f>
        <v>0</v>
      </c>
      <c r="AO75" s="75" t="s">
        <v>666</v>
      </c>
      <c r="AP75" s="75" t="s">
        <v>692</v>
      </c>
      <c r="AQ75" s="67" t="s">
        <v>709</v>
      </c>
      <c r="AS75" s="23">
        <f>AM75+AN75</f>
        <v>0</v>
      </c>
      <c r="AT75" s="23">
        <f>G75/(100-AU75)*100</f>
        <v>0</v>
      </c>
      <c r="AU75" s="23">
        <v>0</v>
      </c>
      <c r="AV75" s="23">
        <f>L75</f>
        <v>0.008413599999999999</v>
      </c>
    </row>
    <row r="76" spans="1:48" ht="12.75">
      <c r="A76" s="1" t="s">
        <v>57</v>
      </c>
      <c r="B76" s="1" t="s">
        <v>172</v>
      </c>
      <c r="C76" s="1" t="s">
        <v>229</v>
      </c>
      <c r="D76" s="1" t="s">
        <v>413</v>
      </c>
      <c r="E76" s="1" t="s">
        <v>554</v>
      </c>
      <c r="F76" s="4">
        <f>'Rozpočet - vybrané sloupce'!BA75</f>
        <v>641.45</v>
      </c>
      <c r="G76" s="6">
        <f>'Rozpočet - vybrané sloupce'!BF75</f>
        <v>0</v>
      </c>
      <c r="H76" s="4">
        <f>F76*AE76</f>
        <v>0</v>
      </c>
      <c r="I76" s="4">
        <f>J76-H76</f>
        <v>0</v>
      </c>
      <c r="J76" s="4">
        <f>F76*G76</f>
        <v>0</v>
      </c>
      <c r="K76" s="4">
        <v>0.00041</v>
      </c>
      <c r="L76" s="4">
        <f>F76*K76</f>
        <v>0.2629945</v>
      </c>
      <c r="M76" s="72" t="s">
        <v>643</v>
      </c>
      <c r="P76" s="23">
        <f>IF(AG76="5",J76,0)</f>
        <v>0</v>
      </c>
      <c r="R76" s="23">
        <f>IF(AG76="1",H76,0)</f>
        <v>0</v>
      </c>
      <c r="S76" s="23">
        <f>IF(AG76="1",I76,0)</f>
        <v>0</v>
      </c>
      <c r="T76" s="23">
        <f>IF(AG76="7",H76,0)</f>
        <v>0</v>
      </c>
      <c r="U76" s="23">
        <f>IF(AG76="7",I76,0)</f>
        <v>0</v>
      </c>
      <c r="V76" s="23">
        <f>IF(AG76="2",H76,0)</f>
        <v>0</v>
      </c>
      <c r="W76" s="23">
        <f>IF(AG76="2",I76,0)</f>
        <v>0</v>
      </c>
      <c r="X76" s="23">
        <f>IF(AG76="0",J76,0)</f>
        <v>0</v>
      </c>
      <c r="Y76" s="67" t="s">
        <v>172</v>
      </c>
      <c r="Z76" s="4">
        <f>IF(AD76=0,J76,0)</f>
        <v>0</v>
      </c>
      <c r="AA76" s="4">
        <f>IF(AD76=15,J76,0)</f>
        <v>0</v>
      </c>
      <c r="AB76" s="4">
        <f>IF(AD76=21,J76,0)</f>
        <v>0</v>
      </c>
      <c r="AD76" s="23">
        <v>21</v>
      </c>
      <c r="AE76" s="23">
        <f>G76*0.0820244912264978</f>
        <v>0</v>
      </c>
      <c r="AF76" s="23">
        <f>G76*(1-0.0820244912264978)</f>
        <v>0</v>
      </c>
      <c r="AG76" s="72" t="s">
        <v>13</v>
      </c>
      <c r="AM76" s="23">
        <f>F76*AE76</f>
        <v>0</v>
      </c>
      <c r="AN76" s="23">
        <f>F76*AF76</f>
        <v>0</v>
      </c>
      <c r="AO76" s="75" t="s">
        <v>666</v>
      </c>
      <c r="AP76" s="75" t="s">
        <v>692</v>
      </c>
      <c r="AQ76" s="67" t="s">
        <v>709</v>
      </c>
      <c r="AS76" s="23">
        <f>AM76+AN76</f>
        <v>0</v>
      </c>
      <c r="AT76" s="23">
        <f>G76/(100-AU76)*100</f>
        <v>0</v>
      </c>
      <c r="AU76" s="23">
        <v>0</v>
      </c>
      <c r="AV76" s="23">
        <f>L76</f>
        <v>0.2629945</v>
      </c>
    </row>
    <row r="77" spans="1:48" ht="12.75">
      <c r="A77" s="1" t="s">
        <v>58</v>
      </c>
      <c r="B77" s="1" t="s">
        <v>172</v>
      </c>
      <c r="C77" s="1" t="s">
        <v>230</v>
      </c>
      <c r="D77" s="1" t="s">
        <v>414</v>
      </c>
      <c r="E77" s="1" t="s">
        <v>554</v>
      </c>
      <c r="F77" s="4">
        <f>'Rozpočet - vybrané sloupce'!BA76</f>
        <v>16.18</v>
      </c>
      <c r="G77" s="6">
        <f>'Rozpočet - vybrané sloupce'!BF76</f>
        <v>0</v>
      </c>
      <c r="H77" s="4">
        <f>F77*AE77</f>
        <v>0</v>
      </c>
      <c r="I77" s="4">
        <f>J77-H77</f>
        <v>0</v>
      </c>
      <c r="J77" s="4">
        <f>F77*G77</f>
        <v>0</v>
      </c>
      <c r="K77" s="4">
        <v>0.00058</v>
      </c>
      <c r="L77" s="4">
        <f>F77*K77</f>
        <v>0.0093844</v>
      </c>
      <c r="M77" s="72" t="s">
        <v>643</v>
      </c>
      <c r="P77" s="23">
        <f>IF(AG77="5",J77,0)</f>
        <v>0</v>
      </c>
      <c r="R77" s="23">
        <f>IF(AG77="1",H77,0)</f>
        <v>0</v>
      </c>
      <c r="S77" s="23">
        <f>IF(AG77="1",I77,0)</f>
        <v>0</v>
      </c>
      <c r="T77" s="23">
        <f>IF(AG77="7",H77,0)</f>
        <v>0</v>
      </c>
      <c r="U77" s="23">
        <f>IF(AG77="7",I77,0)</f>
        <v>0</v>
      </c>
      <c r="V77" s="23">
        <f>IF(AG77="2",H77,0)</f>
        <v>0</v>
      </c>
      <c r="W77" s="23">
        <f>IF(AG77="2",I77,0)</f>
        <v>0</v>
      </c>
      <c r="X77" s="23">
        <f>IF(AG77="0",J77,0)</f>
        <v>0</v>
      </c>
      <c r="Y77" s="67" t="s">
        <v>172</v>
      </c>
      <c r="Z77" s="4">
        <f>IF(AD77=0,J77,0)</f>
        <v>0</v>
      </c>
      <c r="AA77" s="4">
        <f>IF(AD77=15,J77,0)</f>
        <v>0</v>
      </c>
      <c r="AB77" s="4">
        <f>IF(AD77=21,J77,0)</f>
        <v>0</v>
      </c>
      <c r="AD77" s="23">
        <v>21</v>
      </c>
      <c r="AE77" s="23">
        <f>G77*0.104608695652174</f>
        <v>0</v>
      </c>
      <c r="AF77" s="23">
        <f>G77*(1-0.104608695652174)</f>
        <v>0</v>
      </c>
      <c r="AG77" s="72" t="s">
        <v>13</v>
      </c>
      <c r="AM77" s="23">
        <f>F77*AE77</f>
        <v>0</v>
      </c>
      <c r="AN77" s="23">
        <f>F77*AF77</f>
        <v>0</v>
      </c>
      <c r="AO77" s="75" t="s">
        <v>666</v>
      </c>
      <c r="AP77" s="75" t="s">
        <v>692</v>
      </c>
      <c r="AQ77" s="67" t="s">
        <v>709</v>
      </c>
      <c r="AS77" s="23">
        <f>AM77+AN77</f>
        <v>0</v>
      </c>
      <c r="AT77" s="23">
        <f>G77/(100-AU77)*100</f>
        <v>0</v>
      </c>
      <c r="AU77" s="23">
        <v>0</v>
      </c>
      <c r="AV77" s="23">
        <f>L77</f>
        <v>0.0093844</v>
      </c>
    </row>
    <row r="78" spans="1:48" ht="12.75">
      <c r="A78" s="1" t="s">
        <v>59</v>
      </c>
      <c r="B78" s="1" t="s">
        <v>172</v>
      </c>
      <c r="C78" s="1" t="s">
        <v>231</v>
      </c>
      <c r="D78" s="1" t="s">
        <v>415</v>
      </c>
      <c r="E78" s="1" t="s">
        <v>553</v>
      </c>
      <c r="F78" s="4">
        <f>'Rozpočet - vybrané sloupce'!BA77</f>
        <v>0.49</v>
      </c>
      <c r="G78" s="6">
        <f>'Rozpočet - vybrané sloupce'!BF77</f>
        <v>0</v>
      </c>
      <c r="H78" s="4">
        <f>F78*AE78</f>
        <v>0</v>
      </c>
      <c r="I78" s="4">
        <f>J78-H78</f>
        <v>0</v>
      </c>
      <c r="J78" s="4">
        <f>F78*G78</f>
        <v>0</v>
      </c>
      <c r="K78" s="4">
        <v>0</v>
      </c>
      <c r="L78" s="4">
        <f>F78*K78</f>
        <v>0</v>
      </c>
      <c r="M78" s="72" t="s">
        <v>643</v>
      </c>
      <c r="P78" s="23">
        <f>IF(AG78="5",J78,0)</f>
        <v>0</v>
      </c>
      <c r="R78" s="23">
        <f>IF(AG78="1",H78,0)</f>
        <v>0</v>
      </c>
      <c r="S78" s="23">
        <f>IF(AG78="1",I78,0)</f>
        <v>0</v>
      </c>
      <c r="T78" s="23">
        <f>IF(AG78="7",H78,0)</f>
        <v>0</v>
      </c>
      <c r="U78" s="23">
        <f>IF(AG78="7",I78,0)</f>
        <v>0</v>
      </c>
      <c r="V78" s="23">
        <f>IF(AG78="2",H78,0)</f>
        <v>0</v>
      </c>
      <c r="W78" s="23">
        <f>IF(AG78="2",I78,0)</f>
        <v>0</v>
      </c>
      <c r="X78" s="23">
        <f>IF(AG78="0",J78,0)</f>
        <v>0</v>
      </c>
      <c r="Y78" s="67" t="s">
        <v>172</v>
      </c>
      <c r="Z78" s="4">
        <f>IF(AD78=0,J78,0)</f>
        <v>0</v>
      </c>
      <c r="AA78" s="4">
        <f>IF(AD78=15,J78,0)</f>
        <v>0</v>
      </c>
      <c r="AB78" s="4">
        <f>IF(AD78=21,J78,0)</f>
        <v>0</v>
      </c>
      <c r="AD78" s="23">
        <v>21</v>
      </c>
      <c r="AE78" s="23">
        <f>G78*0</f>
        <v>0</v>
      </c>
      <c r="AF78" s="23">
        <f>G78*(1-0)</f>
        <v>0</v>
      </c>
      <c r="AG78" s="72" t="s">
        <v>11</v>
      </c>
      <c r="AM78" s="23">
        <f>F78*AE78</f>
        <v>0</v>
      </c>
      <c r="AN78" s="23">
        <f>F78*AF78</f>
        <v>0</v>
      </c>
      <c r="AO78" s="75" t="s">
        <v>666</v>
      </c>
      <c r="AP78" s="75" t="s">
        <v>692</v>
      </c>
      <c r="AQ78" s="67" t="s">
        <v>709</v>
      </c>
      <c r="AS78" s="23">
        <f>AM78+AN78</f>
        <v>0</v>
      </c>
      <c r="AT78" s="23">
        <f>G78/(100-AU78)*100</f>
        <v>0</v>
      </c>
      <c r="AU78" s="23">
        <v>0</v>
      </c>
      <c r="AV78" s="23">
        <f>L78</f>
        <v>0</v>
      </c>
    </row>
    <row r="79" spans="1:37" ht="12.75">
      <c r="A79" s="52"/>
      <c r="B79" s="58" t="s">
        <v>172</v>
      </c>
      <c r="C79" s="58" t="s">
        <v>232</v>
      </c>
      <c r="D79" s="58" t="s">
        <v>416</v>
      </c>
      <c r="E79" s="52" t="s">
        <v>6</v>
      </c>
      <c r="F79" s="52" t="s">
        <v>6</v>
      </c>
      <c r="G79" s="64" t="s">
        <v>6</v>
      </c>
      <c r="H79" s="9">
        <f>SUM(H80:H81)</f>
        <v>0</v>
      </c>
      <c r="I79" s="9">
        <f>SUM(I80:I81)</f>
        <v>0</v>
      </c>
      <c r="J79" s="9">
        <f>H79+I79</f>
        <v>0</v>
      </c>
      <c r="K79" s="67"/>
      <c r="L79" s="9">
        <f>SUM(L80:L81)</f>
        <v>0</v>
      </c>
      <c r="M79" s="67"/>
      <c r="Y79" s="67" t="s">
        <v>172</v>
      </c>
      <c r="AI79" s="9">
        <f>SUM(Z80:Z81)</f>
        <v>0</v>
      </c>
      <c r="AJ79" s="9">
        <f>SUM(AA80:AA81)</f>
        <v>0</v>
      </c>
      <c r="AK79" s="9">
        <f>SUM(AB80:AB81)</f>
        <v>0</v>
      </c>
    </row>
    <row r="80" spans="1:48" ht="12.75">
      <c r="A80" s="1" t="s">
        <v>60</v>
      </c>
      <c r="B80" s="1" t="s">
        <v>172</v>
      </c>
      <c r="C80" s="1" t="s">
        <v>233</v>
      </c>
      <c r="D80" s="1" t="s">
        <v>417</v>
      </c>
      <c r="E80" s="1" t="s">
        <v>554</v>
      </c>
      <c r="F80" s="4">
        <f>'Rozpočet - vybrané sloupce'!BA79</f>
        <v>80.35</v>
      </c>
      <c r="G80" s="6">
        <f>'Rozpočet - vybrané sloupce'!BF79</f>
        <v>0</v>
      </c>
      <c r="H80" s="4">
        <f>F80*AE80</f>
        <v>0</v>
      </c>
      <c r="I80" s="4">
        <f>J80-H80</f>
        <v>0</v>
      </c>
      <c r="J80" s="4">
        <f>F80*G80</f>
        <v>0</v>
      </c>
      <c r="K80" s="4">
        <v>0</v>
      </c>
      <c r="L80" s="4">
        <f>F80*K80</f>
        <v>0</v>
      </c>
      <c r="M80" s="72" t="s">
        <v>643</v>
      </c>
      <c r="P80" s="23">
        <f>IF(AG80="5",J80,0)</f>
        <v>0</v>
      </c>
      <c r="R80" s="23">
        <f>IF(AG80="1",H80,0)</f>
        <v>0</v>
      </c>
      <c r="S80" s="23">
        <f>IF(AG80="1",I80,0)</f>
        <v>0</v>
      </c>
      <c r="T80" s="23">
        <f>IF(AG80="7",H80,0)</f>
        <v>0</v>
      </c>
      <c r="U80" s="23">
        <f>IF(AG80="7",I80,0)</f>
        <v>0</v>
      </c>
      <c r="V80" s="23">
        <f>IF(AG80="2",H80,0)</f>
        <v>0</v>
      </c>
      <c r="W80" s="23">
        <f>IF(AG80="2",I80,0)</f>
        <v>0</v>
      </c>
      <c r="X80" s="23">
        <f>IF(AG80="0",J80,0)</f>
        <v>0</v>
      </c>
      <c r="Y80" s="67" t="s">
        <v>172</v>
      </c>
      <c r="Z80" s="4">
        <f>IF(AD80=0,J80,0)</f>
        <v>0</v>
      </c>
      <c r="AA80" s="4">
        <f>IF(AD80=15,J80,0)</f>
        <v>0</v>
      </c>
      <c r="AB80" s="4">
        <f>IF(AD80=21,J80,0)</f>
        <v>0</v>
      </c>
      <c r="AD80" s="23">
        <v>21</v>
      </c>
      <c r="AE80" s="23">
        <f>G80*0</f>
        <v>0</v>
      </c>
      <c r="AF80" s="23">
        <f>G80*(1-0)</f>
        <v>0</v>
      </c>
      <c r="AG80" s="72" t="s">
        <v>13</v>
      </c>
      <c r="AM80" s="23">
        <f>F80*AE80</f>
        <v>0</v>
      </c>
      <c r="AN80" s="23">
        <f>F80*AF80</f>
        <v>0</v>
      </c>
      <c r="AO80" s="75" t="s">
        <v>667</v>
      </c>
      <c r="AP80" s="75" t="s">
        <v>692</v>
      </c>
      <c r="AQ80" s="67" t="s">
        <v>709</v>
      </c>
      <c r="AS80" s="23">
        <f>AM80+AN80</f>
        <v>0</v>
      </c>
      <c r="AT80" s="23">
        <f>G80/(100-AU80)*100</f>
        <v>0</v>
      </c>
      <c r="AU80" s="23">
        <v>0</v>
      </c>
      <c r="AV80" s="23">
        <f>L80</f>
        <v>0</v>
      </c>
    </row>
    <row r="81" spans="1:48" ht="12.75">
      <c r="A81" s="1" t="s">
        <v>61</v>
      </c>
      <c r="B81" s="1" t="s">
        <v>172</v>
      </c>
      <c r="C81" s="1" t="s">
        <v>234</v>
      </c>
      <c r="D81" s="1" t="s">
        <v>418</v>
      </c>
      <c r="E81" s="1" t="s">
        <v>553</v>
      </c>
      <c r="F81" s="4">
        <f>'Rozpočet - vybrané sloupce'!BA80</f>
        <v>0.09</v>
      </c>
      <c r="G81" s="6">
        <f>'Rozpočet - vybrané sloupce'!BF80</f>
        <v>0</v>
      </c>
      <c r="H81" s="4">
        <f>F81*AE81</f>
        <v>0</v>
      </c>
      <c r="I81" s="4">
        <f>J81-H81</f>
        <v>0</v>
      </c>
      <c r="J81" s="4">
        <f>F81*G81</f>
        <v>0</v>
      </c>
      <c r="K81" s="4">
        <v>0</v>
      </c>
      <c r="L81" s="4">
        <f>F81*K81</f>
        <v>0</v>
      </c>
      <c r="M81" s="72" t="s">
        <v>643</v>
      </c>
      <c r="P81" s="23">
        <f>IF(AG81="5",J81,0)</f>
        <v>0</v>
      </c>
      <c r="R81" s="23">
        <f>IF(AG81="1",H81,0)</f>
        <v>0</v>
      </c>
      <c r="S81" s="23">
        <f>IF(AG81="1",I81,0)</f>
        <v>0</v>
      </c>
      <c r="T81" s="23">
        <f>IF(AG81="7",H81,0)</f>
        <v>0</v>
      </c>
      <c r="U81" s="23">
        <f>IF(AG81="7",I81,0)</f>
        <v>0</v>
      </c>
      <c r="V81" s="23">
        <f>IF(AG81="2",H81,0)</f>
        <v>0</v>
      </c>
      <c r="W81" s="23">
        <f>IF(AG81="2",I81,0)</f>
        <v>0</v>
      </c>
      <c r="X81" s="23">
        <f>IF(AG81="0",J81,0)</f>
        <v>0</v>
      </c>
      <c r="Y81" s="67" t="s">
        <v>172</v>
      </c>
      <c r="Z81" s="4">
        <f>IF(AD81=0,J81,0)</f>
        <v>0</v>
      </c>
      <c r="AA81" s="4">
        <f>IF(AD81=15,J81,0)</f>
        <v>0</v>
      </c>
      <c r="AB81" s="4">
        <f>IF(AD81=21,J81,0)</f>
        <v>0</v>
      </c>
      <c r="AD81" s="23">
        <v>21</v>
      </c>
      <c r="AE81" s="23">
        <f>G81*0</f>
        <v>0</v>
      </c>
      <c r="AF81" s="23">
        <f>G81*(1-0)</f>
        <v>0</v>
      </c>
      <c r="AG81" s="72" t="s">
        <v>11</v>
      </c>
      <c r="AM81" s="23">
        <f>F81*AE81</f>
        <v>0</v>
      </c>
      <c r="AN81" s="23">
        <f>F81*AF81</f>
        <v>0</v>
      </c>
      <c r="AO81" s="75" t="s">
        <v>667</v>
      </c>
      <c r="AP81" s="75" t="s">
        <v>692</v>
      </c>
      <c r="AQ81" s="67" t="s">
        <v>709</v>
      </c>
      <c r="AS81" s="23">
        <f>AM81+AN81</f>
        <v>0</v>
      </c>
      <c r="AT81" s="23">
        <f>G81/(100-AU81)*100</f>
        <v>0</v>
      </c>
      <c r="AU81" s="23">
        <v>0</v>
      </c>
      <c r="AV81" s="23">
        <f>L81</f>
        <v>0</v>
      </c>
    </row>
    <row r="82" spans="1:37" ht="12.75">
      <c r="A82" s="52"/>
      <c r="B82" s="58" t="s">
        <v>172</v>
      </c>
      <c r="C82" s="58" t="s">
        <v>235</v>
      </c>
      <c r="D82" s="58" t="s">
        <v>419</v>
      </c>
      <c r="E82" s="52" t="s">
        <v>6</v>
      </c>
      <c r="F82" s="52" t="s">
        <v>6</v>
      </c>
      <c r="G82" s="64" t="s">
        <v>6</v>
      </c>
      <c r="H82" s="9">
        <f>SUM(H83:H86)</f>
        <v>0</v>
      </c>
      <c r="I82" s="9">
        <f>SUM(I83:I86)</f>
        <v>0</v>
      </c>
      <c r="J82" s="9">
        <f>H82+I82</f>
        <v>0</v>
      </c>
      <c r="K82" s="67"/>
      <c r="L82" s="9">
        <f>SUM(L83:L86)</f>
        <v>0.37876999999999994</v>
      </c>
      <c r="M82" s="67"/>
      <c r="Y82" s="67" t="s">
        <v>172</v>
      </c>
      <c r="AI82" s="9">
        <f>SUM(Z83:Z86)</f>
        <v>0</v>
      </c>
      <c r="AJ82" s="9">
        <f>SUM(AA83:AA86)</f>
        <v>0</v>
      </c>
      <c r="AK82" s="9">
        <f>SUM(AB83:AB86)</f>
        <v>0</v>
      </c>
    </row>
    <row r="83" spans="1:48" ht="12.75">
      <c r="A83" s="1" t="s">
        <v>62</v>
      </c>
      <c r="B83" s="1" t="s">
        <v>172</v>
      </c>
      <c r="C83" s="1" t="s">
        <v>236</v>
      </c>
      <c r="D83" s="1" t="s">
        <v>420</v>
      </c>
      <c r="E83" s="1" t="s">
        <v>556</v>
      </c>
      <c r="F83" s="4">
        <f>'Rozpočet - vybrané sloupce'!BA82</f>
        <v>50.4</v>
      </c>
      <c r="G83" s="6">
        <f>'Rozpočet - vybrané sloupce'!BF82</f>
        <v>0</v>
      </c>
      <c r="H83" s="4">
        <f>F83*AE83</f>
        <v>0</v>
      </c>
      <c r="I83" s="4">
        <f>J83-H83</f>
        <v>0</v>
      </c>
      <c r="J83" s="4">
        <f>F83*G83</f>
        <v>0</v>
      </c>
      <c r="K83" s="4">
        <v>0.00345</v>
      </c>
      <c r="L83" s="4">
        <f>F83*K83</f>
        <v>0.17387999999999998</v>
      </c>
      <c r="M83" s="72" t="s">
        <v>643</v>
      </c>
      <c r="P83" s="23">
        <f>IF(AG83="5",J83,0)</f>
        <v>0</v>
      </c>
      <c r="R83" s="23">
        <f>IF(AG83="1",H83,0)</f>
        <v>0</v>
      </c>
      <c r="S83" s="23">
        <f>IF(AG83="1",I83,0)</f>
        <v>0</v>
      </c>
      <c r="T83" s="23">
        <f>IF(AG83="7",H83,0)</f>
        <v>0</v>
      </c>
      <c r="U83" s="23">
        <f>IF(AG83="7",I83,0)</f>
        <v>0</v>
      </c>
      <c r="V83" s="23">
        <f>IF(AG83="2",H83,0)</f>
        <v>0</v>
      </c>
      <c r="W83" s="23">
        <f>IF(AG83="2",I83,0)</f>
        <v>0</v>
      </c>
      <c r="X83" s="23">
        <f>IF(AG83="0",J83,0)</f>
        <v>0</v>
      </c>
      <c r="Y83" s="67" t="s">
        <v>172</v>
      </c>
      <c r="Z83" s="4">
        <f>IF(AD83=0,J83,0)</f>
        <v>0</v>
      </c>
      <c r="AA83" s="4">
        <f>IF(AD83=15,J83,0)</f>
        <v>0</v>
      </c>
      <c r="AB83" s="4">
        <f>IF(AD83=21,J83,0)</f>
        <v>0</v>
      </c>
      <c r="AD83" s="23">
        <v>21</v>
      </c>
      <c r="AE83" s="23">
        <f>G83*0.860520828735961</f>
        <v>0</v>
      </c>
      <c r="AF83" s="23">
        <f>G83*(1-0.860520828735961)</f>
        <v>0</v>
      </c>
      <c r="AG83" s="72" t="s">
        <v>13</v>
      </c>
      <c r="AM83" s="23">
        <f>F83*AE83</f>
        <v>0</v>
      </c>
      <c r="AN83" s="23">
        <f>F83*AF83</f>
        <v>0</v>
      </c>
      <c r="AO83" s="75" t="s">
        <v>668</v>
      </c>
      <c r="AP83" s="75" t="s">
        <v>693</v>
      </c>
      <c r="AQ83" s="67" t="s">
        <v>709</v>
      </c>
      <c r="AS83" s="23">
        <f>AM83+AN83</f>
        <v>0</v>
      </c>
      <c r="AT83" s="23">
        <f>G83/(100-AU83)*100</f>
        <v>0</v>
      </c>
      <c r="AU83" s="23">
        <v>0</v>
      </c>
      <c r="AV83" s="23">
        <f>L83</f>
        <v>0.17387999999999998</v>
      </c>
    </row>
    <row r="84" spans="1:48" ht="12.75">
      <c r="A84" s="1" t="s">
        <v>63</v>
      </c>
      <c r="B84" s="1" t="s">
        <v>172</v>
      </c>
      <c r="C84" s="1" t="s">
        <v>237</v>
      </c>
      <c r="D84" s="1" t="s">
        <v>421</v>
      </c>
      <c r="E84" s="1" t="s">
        <v>556</v>
      </c>
      <c r="F84" s="4">
        <f>'Rozpočet - vybrané sloupce'!BA83</f>
        <v>73.08</v>
      </c>
      <c r="G84" s="6">
        <f>'Rozpočet - vybrané sloupce'!BF83</f>
        <v>0</v>
      </c>
      <c r="H84" s="4">
        <f>F84*AE84</f>
        <v>0</v>
      </c>
      <c r="I84" s="4">
        <f>J84-H84</f>
        <v>0</v>
      </c>
      <c r="J84" s="4">
        <f>F84*G84</f>
        <v>0</v>
      </c>
      <c r="K84" s="4">
        <v>0.00275</v>
      </c>
      <c r="L84" s="4">
        <f>F84*K84</f>
        <v>0.20096999999999998</v>
      </c>
      <c r="M84" s="72" t="s">
        <v>643</v>
      </c>
      <c r="P84" s="23">
        <f>IF(AG84="5",J84,0)</f>
        <v>0</v>
      </c>
      <c r="R84" s="23">
        <f>IF(AG84="1",H84,0)</f>
        <v>0</v>
      </c>
      <c r="S84" s="23">
        <f>IF(AG84="1",I84,0)</f>
        <v>0</v>
      </c>
      <c r="T84" s="23">
        <f>IF(AG84="7",H84,0)</f>
        <v>0</v>
      </c>
      <c r="U84" s="23">
        <f>IF(AG84="7",I84,0)</f>
        <v>0</v>
      </c>
      <c r="V84" s="23">
        <f>IF(AG84="2",H84,0)</f>
        <v>0</v>
      </c>
      <c r="W84" s="23">
        <f>IF(AG84="2",I84,0)</f>
        <v>0</v>
      </c>
      <c r="X84" s="23">
        <f>IF(AG84="0",J84,0)</f>
        <v>0</v>
      </c>
      <c r="Y84" s="67" t="s">
        <v>172</v>
      </c>
      <c r="Z84" s="4">
        <f>IF(AD84=0,J84,0)</f>
        <v>0</v>
      </c>
      <c r="AA84" s="4">
        <f>IF(AD84=15,J84,0)</f>
        <v>0</v>
      </c>
      <c r="AB84" s="4">
        <f>IF(AD84=21,J84,0)</f>
        <v>0</v>
      </c>
      <c r="AD84" s="23">
        <v>21</v>
      </c>
      <c r="AE84" s="23">
        <f>G84*0.787797419207891</f>
        <v>0</v>
      </c>
      <c r="AF84" s="23">
        <f>G84*(1-0.787797419207891)</f>
        <v>0</v>
      </c>
      <c r="AG84" s="72" t="s">
        <v>13</v>
      </c>
      <c r="AM84" s="23">
        <f>F84*AE84</f>
        <v>0</v>
      </c>
      <c r="AN84" s="23">
        <f>F84*AF84</f>
        <v>0</v>
      </c>
      <c r="AO84" s="75" t="s">
        <v>668</v>
      </c>
      <c r="AP84" s="75" t="s">
        <v>693</v>
      </c>
      <c r="AQ84" s="67" t="s">
        <v>709</v>
      </c>
      <c r="AS84" s="23">
        <f>AM84+AN84</f>
        <v>0</v>
      </c>
      <c r="AT84" s="23">
        <f>G84/(100-AU84)*100</f>
        <v>0</v>
      </c>
      <c r="AU84" s="23">
        <v>0</v>
      </c>
      <c r="AV84" s="23">
        <f>L84</f>
        <v>0.20096999999999998</v>
      </c>
    </row>
    <row r="85" spans="1:48" ht="12.75">
      <c r="A85" s="1" t="s">
        <v>64</v>
      </c>
      <c r="B85" s="1" t="s">
        <v>172</v>
      </c>
      <c r="C85" s="1" t="s">
        <v>238</v>
      </c>
      <c r="D85" s="1" t="s">
        <v>422</v>
      </c>
      <c r="E85" s="1" t="s">
        <v>555</v>
      </c>
      <c r="F85" s="4">
        <f>'Rozpočet - vybrané sloupce'!BA84</f>
        <v>8</v>
      </c>
      <c r="G85" s="6">
        <f>'Rozpočet - vybrané sloupce'!BF84</f>
        <v>0</v>
      </c>
      <c r="H85" s="4">
        <f>F85*AE85</f>
        <v>0</v>
      </c>
      <c r="I85" s="4">
        <f>J85-H85</f>
        <v>0</v>
      </c>
      <c r="J85" s="4">
        <f>F85*G85</f>
        <v>0</v>
      </c>
      <c r="K85" s="4">
        <v>0.00049</v>
      </c>
      <c r="L85" s="4">
        <f>F85*K85</f>
        <v>0.00392</v>
      </c>
      <c r="M85" s="72" t="s">
        <v>643</v>
      </c>
      <c r="P85" s="23">
        <f>IF(AG85="5",J85,0)</f>
        <v>0</v>
      </c>
      <c r="R85" s="23">
        <f>IF(AG85="1",H85,0)</f>
        <v>0</v>
      </c>
      <c r="S85" s="23">
        <f>IF(AG85="1",I85,0)</f>
        <v>0</v>
      </c>
      <c r="T85" s="23">
        <f>IF(AG85="7",H85,0)</f>
        <v>0</v>
      </c>
      <c r="U85" s="23">
        <f>IF(AG85="7",I85,0)</f>
        <v>0</v>
      </c>
      <c r="V85" s="23">
        <f>IF(AG85="2",H85,0)</f>
        <v>0</v>
      </c>
      <c r="W85" s="23">
        <f>IF(AG85="2",I85,0)</f>
        <v>0</v>
      </c>
      <c r="X85" s="23">
        <f>IF(AG85="0",J85,0)</f>
        <v>0</v>
      </c>
      <c r="Y85" s="67" t="s">
        <v>172</v>
      </c>
      <c r="Z85" s="4">
        <f>IF(AD85=0,J85,0)</f>
        <v>0</v>
      </c>
      <c r="AA85" s="4">
        <f>IF(AD85=15,J85,0)</f>
        <v>0</v>
      </c>
      <c r="AB85" s="4">
        <f>IF(AD85=21,J85,0)</f>
        <v>0</v>
      </c>
      <c r="AD85" s="23">
        <v>21</v>
      </c>
      <c r="AE85" s="23">
        <f>G85*0.741714285714286</f>
        <v>0</v>
      </c>
      <c r="AF85" s="23">
        <f>G85*(1-0.741714285714286)</f>
        <v>0</v>
      </c>
      <c r="AG85" s="72" t="s">
        <v>13</v>
      </c>
      <c r="AM85" s="23">
        <f>F85*AE85</f>
        <v>0</v>
      </c>
      <c r="AN85" s="23">
        <f>F85*AF85</f>
        <v>0</v>
      </c>
      <c r="AO85" s="75" t="s">
        <v>668</v>
      </c>
      <c r="AP85" s="75" t="s">
        <v>693</v>
      </c>
      <c r="AQ85" s="67" t="s">
        <v>709</v>
      </c>
      <c r="AS85" s="23">
        <f>AM85+AN85</f>
        <v>0</v>
      </c>
      <c r="AT85" s="23">
        <f>G85/(100-AU85)*100</f>
        <v>0</v>
      </c>
      <c r="AU85" s="23">
        <v>0</v>
      </c>
      <c r="AV85" s="23">
        <f>L85</f>
        <v>0.00392</v>
      </c>
    </row>
    <row r="86" spans="1:48" ht="12.75">
      <c r="A86" s="1" t="s">
        <v>65</v>
      </c>
      <c r="B86" s="1" t="s">
        <v>172</v>
      </c>
      <c r="C86" s="1" t="s">
        <v>239</v>
      </c>
      <c r="D86" s="1" t="s">
        <v>423</v>
      </c>
      <c r="E86" s="1" t="s">
        <v>553</v>
      </c>
      <c r="F86" s="4">
        <f>'Rozpočet - vybrané sloupce'!BA85</f>
        <v>0.38</v>
      </c>
      <c r="G86" s="6">
        <f>'Rozpočet - vybrané sloupce'!BF85</f>
        <v>0</v>
      </c>
      <c r="H86" s="4">
        <f>F86*AE86</f>
        <v>0</v>
      </c>
      <c r="I86" s="4">
        <f>J86-H86</f>
        <v>0</v>
      </c>
      <c r="J86" s="4">
        <f>F86*G86</f>
        <v>0</v>
      </c>
      <c r="K86" s="4">
        <v>0</v>
      </c>
      <c r="L86" s="4">
        <f>F86*K86</f>
        <v>0</v>
      </c>
      <c r="M86" s="72" t="s">
        <v>643</v>
      </c>
      <c r="P86" s="23">
        <f>IF(AG86="5",J86,0)</f>
        <v>0</v>
      </c>
      <c r="R86" s="23">
        <f>IF(AG86="1",H86,0)</f>
        <v>0</v>
      </c>
      <c r="S86" s="23">
        <f>IF(AG86="1",I86,0)</f>
        <v>0</v>
      </c>
      <c r="T86" s="23">
        <f>IF(AG86="7",H86,0)</f>
        <v>0</v>
      </c>
      <c r="U86" s="23">
        <f>IF(AG86="7",I86,0)</f>
        <v>0</v>
      </c>
      <c r="V86" s="23">
        <f>IF(AG86="2",H86,0)</f>
        <v>0</v>
      </c>
      <c r="W86" s="23">
        <f>IF(AG86="2",I86,0)</f>
        <v>0</v>
      </c>
      <c r="X86" s="23">
        <f>IF(AG86="0",J86,0)</f>
        <v>0</v>
      </c>
      <c r="Y86" s="67" t="s">
        <v>172</v>
      </c>
      <c r="Z86" s="4">
        <f>IF(AD86=0,J86,0)</f>
        <v>0</v>
      </c>
      <c r="AA86" s="4">
        <f>IF(AD86=15,J86,0)</f>
        <v>0</v>
      </c>
      <c r="AB86" s="4">
        <f>IF(AD86=21,J86,0)</f>
        <v>0</v>
      </c>
      <c r="AD86" s="23">
        <v>21</v>
      </c>
      <c r="AE86" s="23">
        <f>G86*0</f>
        <v>0</v>
      </c>
      <c r="AF86" s="23">
        <f>G86*(1-0)</f>
        <v>0</v>
      </c>
      <c r="AG86" s="72" t="s">
        <v>11</v>
      </c>
      <c r="AM86" s="23">
        <f>F86*AE86</f>
        <v>0</v>
      </c>
      <c r="AN86" s="23">
        <f>F86*AF86</f>
        <v>0</v>
      </c>
      <c r="AO86" s="75" t="s">
        <v>668</v>
      </c>
      <c r="AP86" s="75" t="s">
        <v>693</v>
      </c>
      <c r="AQ86" s="67" t="s">
        <v>709</v>
      </c>
      <c r="AS86" s="23">
        <f>AM86+AN86</f>
        <v>0</v>
      </c>
      <c r="AT86" s="23">
        <f>G86/(100-AU86)*100</f>
        <v>0</v>
      </c>
      <c r="AU86" s="23">
        <v>0</v>
      </c>
      <c r="AV86" s="23">
        <f>L86</f>
        <v>0</v>
      </c>
    </row>
    <row r="87" spans="1:37" ht="12.75">
      <c r="A87" s="52"/>
      <c r="B87" s="58" t="s">
        <v>172</v>
      </c>
      <c r="C87" s="58" t="s">
        <v>240</v>
      </c>
      <c r="D87" s="58" t="s">
        <v>424</v>
      </c>
      <c r="E87" s="52" t="s">
        <v>6</v>
      </c>
      <c r="F87" s="52" t="s">
        <v>6</v>
      </c>
      <c r="G87" s="64" t="s">
        <v>6</v>
      </c>
      <c r="H87" s="9">
        <f>SUM(H88:H90)</f>
        <v>0</v>
      </c>
      <c r="I87" s="9">
        <f>SUM(I88:I90)</f>
        <v>0</v>
      </c>
      <c r="J87" s="9">
        <f>H87+I87</f>
        <v>0</v>
      </c>
      <c r="K87" s="67"/>
      <c r="L87" s="9">
        <f>SUM(L88:L90)</f>
        <v>2.4632155</v>
      </c>
      <c r="M87" s="67"/>
      <c r="Y87" s="67" t="s">
        <v>172</v>
      </c>
      <c r="AI87" s="9">
        <f>SUM(Z88:Z90)</f>
        <v>0</v>
      </c>
      <c r="AJ87" s="9">
        <f>SUM(AA88:AA90)</f>
        <v>0</v>
      </c>
      <c r="AK87" s="9">
        <f>SUM(AB88:AB90)</f>
        <v>0</v>
      </c>
    </row>
    <row r="88" spans="1:48" ht="12.75">
      <c r="A88" s="1" t="s">
        <v>66</v>
      </c>
      <c r="B88" s="1" t="s">
        <v>172</v>
      </c>
      <c r="C88" s="1" t="s">
        <v>241</v>
      </c>
      <c r="D88" s="1" t="s">
        <v>425</v>
      </c>
      <c r="E88" s="1" t="s">
        <v>558</v>
      </c>
      <c r="F88" s="4">
        <f>'Rozpočet - vybrané sloupce'!BA87</f>
        <v>1</v>
      </c>
      <c r="G88" s="6">
        <f>'Rozpočet - vybrané sloupce'!BF87</f>
        <v>0</v>
      </c>
      <c r="H88" s="4">
        <f>F88*AE88</f>
        <v>0</v>
      </c>
      <c r="I88" s="4">
        <f>J88-H88</f>
        <v>0</v>
      </c>
      <c r="J88" s="4">
        <f>F88*G88</f>
        <v>0</v>
      </c>
      <c r="K88" s="4">
        <v>0</v>
      </c>
      <c r="L88" s="4">
        <f>F88*K88</f>
        <v>0</v>
      </c>
      <c r="M88" s="72" t="s">
        <v>643</v>
      </c>
      <c r="P88" s="23">
        <f>IF(AG88="5",J88,0)</f>
        <v>0</v>
      </c>
      <c r="R88" s="23">
        <f>IF(AG88="1",H88,0)</f>
        <v>0</v>
      </c>
      <c r="S88" s="23">
        <f>IF(AG88="1",I88,0)</f>
        <v>0</v>
      </c>
      <c r="T88" s="23">
        <f>IF(AG88="7",H88,0)</f>
        <v>0</v>
      </c>
      <c r="U88" s="23">
        <f>IF(AG88="7",I88,0)</f>
        <v>0</v>
      </c>
      <c r="V88" s="23">
        <f>IF(AG88="2",H88,0)</f>
        <v>0</v>
      </c>
      <c r="W88" s="23">
        <f>IF(AG88="2",I88,0)</f>
        <v>0</v>
      </c>
      <c r="X88" s="23">
        <f>IF(AG88="0",J88,0)</f>
        <v>0</v>
      </c>
      <c r="Y88" s="67" t="s">
        <v>172</v>
      </c>
      <c r="Z88" s="4">
        <f>IF(AD88=0,J88,0)</f>
        <v>0</v>
      </c>
      <c r="AA88" s="4">
        <f>IF(AD88=15,J88,0)</f>
        <v>0</v>
      </c>
      <c r="AB88" s="4">
        <f>IF(AD88=21,J88,0)</f>
        <v>0</v>
      </c>
      <c r="AD88" s="23">
        <v>21</v>
      </c>
      <c r="AE88" s="23">
        <f>G88*1</f>
        <v>0</v>
      </c>
      <c r="AF88" s="23">
        <f>G88*(1-1)</f>
        <v>0</v>
      </c>
      <c r="AG88" s="72" t="s">
        <v>13</v>
      </c>
      <c r="AM88" s="23">
        <f>F88*AE88</f>
        <v>0</v>
      </c>
      <c r="AN88" s="23">
        <f>F88*AF88</f>
        <v>0</v>
      </c>
      <c r="AO88" s="75" t="s">
        <v>669</v>
      </c>
      <c r="AP88" s="75" t="s">
        <v>693</v>
      </c>
      <c r="AQ88" s="67" t="s">
        <v>709</v>
      </c>
      <c r="AS88" s="23">
        <f>AM88+AN88</f>
        <v>0</v>
      </c>
      <c r="AT88" s="23">
        <f>G88/(100-AU88)*100</f>
        <v>0</v>
      </c>
      <c r="AU88" s="23">
        <v>0</v>
      </c>
      <c r="AV88" s="23">
        <f>L88</f>
        <v>0</v>
      </c>
    </row>
    <row r="89" spans="1:48" ht="12.75">
      <c r="A89" s="1" t="s">
        <v>67</v>
      </c>
      <c r="B89" s="1" t="s">
        <v>172</v>
      </c>
      <c r="C89" s="1" t="s">
        <v>242</v>
      </c>
      <c r="D89" s="1" t="s">
        <v>426</v>
      </c>
      <c r="E89" s="1" t="s">
        <v>559</v>
      </c>
      <c r="F89" s="4">
        <f>'Rozpočet - vybrané sloupce'!BA88</f>
        <v>49264.31</v>
      </c>
      <c r="G89" s="6">
        <f>'Rozpočet - vybrané sloupce'!BF88</f>
        <v>0</v>
      </c>
      <c r="H89" s="4">
        <f>F89*AE89</f>
        <v>0</v>
      </c>
      <c r="I89" s="4">
        <f>J89-H89</f>
        <v>0</v>
      </c>
      <c r="J89" s="4">
        <f>F89*G89</f>
        <v>0</v>
      </c>
      <c r="K89" s="4">
        <v>5E-05</v>
      </c>
      <c r="L89" s="4">
        <f>F89*K89</f>
        <v>2.4632155</v>
      </c>
      <c r="M89" s="72" t="s">
        <v>643</v>
      </c>
      <c r="P89" s="23">
        <f>IF(AG89="5",J89,0)</f>
        <v>0</v>
      </c>
      <c r="R89" s="23">
        <f>IF(AG89="1",H89,0)</f>
        <v>0</v>
      </c>
      <c r="S89" s="23">
        <f>IF(AG89="1",I89,0)</f>
        <v>0</v>
      </c>
      <c r="T89" s="23">
        <f>IF(AG89="7",H89,0)</f>
        <v>0</v>
      </c>
      <c r="U89" s="23">
        <f>IF(AG89="7",I89,0)</f>
        <v>0</v>
      </c>
      <c r="V89" s="23">
        <f>IF(AG89="2",H89,0)</f>
        <v>0</v>
      </c>
      <c r="W89" s="23">
        <f>IF(AG89="2",I89,0)</f>
        <v>0</v>
      </c>
      <c r="X89" s="23">
        <f>IF(AG89="0",J89,0)</f>
        <v>0</v>
      </c>
      <c r="Y89" s="67" t="s">
        <v>172</v>
      </c>
      <c r="Z89" s="4">
        <f>IF(AD89=0,J89,0)</f>
        <v>0</v>
      </c>
      <c r="AA89" s="4">
        <f>IF(AD89=15,J89,0)</f>
        <v>0</v>
      </c>
      <c r="AB89" s="4">
        <f>IF(AD89=21,J89,0)</f>
        <v>0</v>
      </c>
      <c r="AD89" s="23">
        <v>21</v>
      </c>
      <c r="AE89" s="23">
        <f>G89*0.150498835379373</f>
        <v>0</v>
      </c>
      <c r="AF89" s="23">
        <f>G89*(1-0.150498835379373)</f>
        <v>0</v>
      </c>
      <c r="AG89" s="72" t="s">
        <v>13</v>
      </c>
      <c r="AM89" s="23">
        <f>F89*AE89</f>
        <v>0</v>
      </c>
      <c r="AN89" s="23">
        <f>F89*AF89</f>
        <v>0</v>
      </c>
      <c r="AO89" s="75" t="s">
        <v>669</v>
      </c>
      <c r="AP89" s="75" t="s">
        <v>693</v>
      </c>
      <c r="AQ89" s="67" t="s">
        <v>709</v>
      </c>
      <c r="AS89" s="23">
        <f>AM89+AN89</f>
        <v>0</v>
      </c>
      <c r="AT89" s="23">
        <f>G89/(100-AU89)*100</f>
        <v>0</v>
      </c>
      <c r="AU89" s="23">
        <v>0</v>
      </c>
      <c r="AV89" s="23">
        <f>L89</f>
        <v>2.4632155</v>
      </c>
    </row>
    <row r="90" spans="1:48" ht="12.75">
      <c r="A90" s="1" t="s">
        <v>68</v>
      </c>
      <c r="B90" s="1" t="s">
        <v>172</v>
      </c>
      <c r="C90" s="1" t="s">
        <v>243</v>
      </c>
      <c r="D90" s="1" t="s">
        <v>427</v>
      </c>
      <c r="E90" s="1" t="s">
        <v>553</v>
      </c>
      <c r="F90" s="4">
        <f>'Rozpočet - vybrané sloupce'!BA89</f>
        <v>0</v>
      </c>
      <c r="G90" s="6">
        <f>'Rozpočet - vybrané sloupce'!BF89</f>
        <v>0</v>
      </c>
      <c r="H90" s="4">
        <f>F90*AE90</f>
        <v>0</v>
      </c>
      <c r="I90" s="4">
        <f>J90-H90</f>
        <v>0</v>
      </c>
      <c r="J90" s="4">
        <f>F90*G90</f>
        <v>0</v>
      </c>
      <c r="K90" s="4">
        <v>0</v>
      </c>
      <c r="L90" s="4">
        <f>F90*K90</f>
        <v>0</v>
      </c>
      <c r="M90" s="72" t="s">
        <v>643</v>
      </c>
      <c r="P90" s="23">
        <f>IF(AG90="5",J90,0)</f>
        <v>0</v>
      </c>
      <c r="R90" s="23">
        <f>IF(AG90="1",H90,0)</f>
        <v>0</v>
      </c>
      <c r="S90" s="23">
        <f>IF(AG90="1",I90,0)</f>
        <v>0</v>
      </c>
      <c r="T90" s="23">
        <f>IF(AG90="7",H90,0)</f>
        <v>0</v>
      </c>
      <c r="U90" s="23">
        <f>IF(AG90="7",I90,0)</f>
        <v>0</v>
      </c>
      <c r="V90" s="23">
        <f>IF(AG90="2",H90,0)</f>
        <v>0</v>
      </c>
      <c r="W90" s="23">
        <f>IF(AG90="2",I90,0)</f>
        <v>0</v>
      </c>
      <c r="X90" s="23">
        <f>IF(AG90="0",J90,0)</f>
        <v>0</v>
      </c>
      <c r="Y90" s="67" t="s">
        <v>172</v>
      </c>
      <c r="Z90" s="4">
        <f>IF(AD90=0,J90,0)</f>
        <v>0</v>
      </c>
      <c r="AA90" s="4">
        <f>IF(AD90=15,J90,0)</f>
        <v>0</v>
      </c>
      <c r="AB90" s="4">
        <f>IF(AD90=21,J90,0)</f>
        <v>0</v>
      </c>
      <c r="AD90" s="23">
        <v>21</v>
      </c>
      <c r="AE90" s="23">
        <f>G90*0</f>
        <v>0</v>
      </c>
      <c r="AF90" s="23">
        <f>G90*(1-0)</f>
        <v>0</v>
      </c>
      <c r="AG90" s="72" t="s">
        <v>11</v>
      </c>
      <c r="AM90" s="23">
        <f>F90*AE90</f>
        <v>0</v>
      </c>
      <c r="AN90" s="23">
        <f>F90*AF90</f>
        <v>0</v>
      </c>
      <c r="AO90" s="75" t="s">
        <v>669</v>
      </c>
      <c r="AP90" s="75" t="s">
        <v>693</v>
      </c>
      <c r="AQ90" s="67" t="s">
        <v>709</v>
      </c>
      <c r="AS90" s="23">
        <f>AM90+AN90</f>
        <v>0</v>
      </c>
      <c r="AT90" s="23">
        <f>G90/(100-AU90)*100</f>
        <v>0</v>
      </c>
      <c r="AU90" s="23">
        <v>0</v>
      </c>
      <c r="AV90" s="23">
        <f>L90</f>
        <v>0</v>
      </c>
    </row>
    <row r="91" spans="1:37" ht="12.75">
      <c r="A91" s="52"/>
      <c r="B91" s="58" t="s">
        <v>172</v>
      </c>
      <c r="C91" s="58" t="s">
        <v>244</v>
      </c>
      <c r="D91" s="58" t="s">
        <v>428</v>
      </c>
      <c r="E91" s="52" t="s">
        <v>6</v>
      </c>
      <c r="F91" s="52" t="s">
        <v>6</v>
      </c>
      <c r="G91" s="64" t="s">
        <v>6</v>
      </c>
      <c r="H91" s="9">
        <f>SUM(H92:H93)</f>
        <v>0</v>
      </c>
      <c r="I91" s="9">
        <f>SUM(I92:I93)</f>
        <v>0</v>
      </c>
      <c r="J91" s="9">
        <f>H91+I91</f>
        <v>0</v>
      </c>
      <c r="K91" s="67"/>
      <c r="L91" s="9">
        <f>SUM(L92:L93)</f>
        <v>0.17315550000000002</v>
      </c>
      <c r="M91" s="67"/>
      <c r="Y91" s="67" t="s">
        <v>172</v>
      </c>
      <c r="AI91" s="9">
        <f>SUM(Z92:Z93)</f>
        <v>0</v>
      </c>
      <c r="AJ91" s="9">
        <f>SUM(AA92:AA93)</f>
        <v>0</v>
      </c>
      <c r="AK91" s="9">
        <f>SUM(AB92:AB93)</f>
        <v>0</v>
      </c>
    </row>
    <row r="92" spans="1:48" ht="12.75">
      <c r="A92" s="1" t="s">
        <v>69</v>
      </c>
      <c r="B92" s="1" t="s">
        <v>172</v>
      </c>
      <c r="C92" s="1" t="s">
        <v>245</v>
      </c>
      <c r="D92" s="1" t="s">
        <v>429</v>
      </c>
      <c r="E92" s="1" t="s">
        <v>554</v>
      </c>
      <c r="F92" s="4">
        <f>'Rozpočet - vybrané sloupce'!BA91</f>
        <v>35.85</v>
      </c>
      <c r="G92" s="6">
        <f>'Rozpočet - vybrané sloupce'!BF91</f>
        <v>0</v>
      </c>
      <c r="H92" s="4">
        <f>F92*AE92</f>
        <v>0</v>
      </c>
      <c r="I92" s="4">
        <f>J92-H92</f>
        <v>0</v>
      </c>
      <c r="J92" s="4">
        <f>F92*G92</f>
        <v>0</v>
      </c>
      <c r="K92" s="4">
        <v>0.00483</v>
      </c>
      <c r="L92" s="4">
        <f>F92*K92</f>
        <v>0.17315550000000002</v>
      </c>
      <c r="M92" s="72" t="s">
        <v>643</v>
      </c>
      <c r="P92" s="23">
        <f>IF(AG92="5",J92,0)</f>
        <v>0</v>
      </c>
      <c r="R92" s="23">
        <f>IF(AG92="1",H92,0)</f>
        <v>0</v>
      </c>
      <c r="S92" s="23">
        <f>IF(AG92="1",I92,0)</f>
        <v>0</v>
      </c>
      <c r="T92" s="23">
        <f>IF(AG92="7",H92,0)</f>
        <v>0</v>
      </c>
      <c r="U92" s="23">
        <f>IF(AG92="7",I92,0)</f>
        <v>0</v>
      </c>
      <c r="V92" s="23">
        <f>IF(AG92="2",H92,0)</f>
        <v>0</v>
      </c>
      <c r="W92" s="23">
        <f>IF(AG92="2",I92,0)</f>
        <v>0</v>
      </c>
      <c r="X92" s="23">
        <f>IF(AG92="0",J92,0)</f>
        <v>0</v>
      </c>
      <c r="Y92" s="67" t="s">
        <v>172</v>
      </c>
      <c r="Z92" s="4">
        <f>IF(AD92=0,J92,0)</f>
        <v>0</v>
      </c>
      <c r="AA92" s="4">
        <f>IF(AD92=15,J92,0)</f>
        <v>0</v>
      </c>
      <c r="AB92" s="4">
        <f>IF(AD92=21,J92,0)</f>
        <v>0</v>
      </c>
      <c r="AD92" s="23">
        <v>21</v>
      </c>
      <c r="AE92" s="23">
        <f>G92*0.146011825927966</f>
        <v>0</v>
      </c>
      <c r="AF92" s="23">
        <f>G92*(1-0.146011825927966)</f>
        <v>0</v>
      </c>
      <c r="AG92" s="72" t="s">
        <v>13</v>
      </c>
      <c r="AM92" s="23">
        <f>F92*AE92</f>
        <v>0</v>
      </c>
      <c r="AN92" s="23">
        <f>F92*AF92</f>
        <v>0</v>
      </c>
      <c r="AO92" s="75" t="s">
        <v>670</v>
      </c>
      <c r="AP92" s="75" t="s">
        <v>694</v>
      </c>
      <c r="AQ92" s="67" t="s">
        <v>709</v>
      </c>
      <c r="AS92" s="23">
        <f>AM92+AN92</f>
        <v>0</v>
      </c>
      <c r="AT92" s="23">
        <f>G92/(100-AU92)*100</f>
        <v>0</v>
      </c>
      <c r="AU92" s="23">
        <v>0</v>
      </c>
      <c r="AV92" s="23">
        <f>L92</f>
        <v>0.17315550000000002</v>
      </c>
    </row>
    <row r="93" spans="1:48" ht="12.75">
      <c r="A93" s="1" t="s">
        <v>70</v>
      </c>
      <c r="B93" s="1" t="s">
        <v>172</v>
      </c>
      <c r="C93" s="1" t="s">
        <v>246</v>
      </c>
      <c r="D93" s="1" t="s">
        <v>430</v>
      </c>
      <c r="E93" s="1" t="s">
        <v>553</v>
      </c>
      <c r="F93" s="4">
        <f>'Rozpočet - vybrané sloupce'!BA92</f>
        <v>0.1</v>
      </c>
      <c r="G93" s="6">
        <f>'Rozpočet - vybrané sloupce'!BF92</f>
        <v>0</v>
      </c>
      <c r="H93" s="4">
        <f>F93*AE93</f>
        <v>0</v>
      </c>
      <c r="I93" s="4">
        <f>J93-H93</f>
        <v>0</v>
      </c>
      <c r="J93" s="4">
        <f>F93*G93</f>
        <v>0</v>
      </c>
      <c r="K93" s="4">
        <v>0</v>
      </c>
      <c r="L93" s="4">
        <f>F93*K93</f>
        <v>0</v>
      </c>
      <c r="M93" s="72" t="s">
        <v>643</v>
      </c>
      <c r="P93" s="23">
        <f>IF(AG93="5",J93,0)</f>
        <v>0</v>
      </c>
      <c r="R93" s="23">
        <f>IF(AG93="1",H93,0)</f>
        <v>0</v>
      </c>
      <c r="S93" s="23">
        <f>IF(AG93="1",I93,0)</f>
        <v>0</v>
      </c>
      <c r="T93" s="23">
        <f>IF(AG93="7",H93,0)</f>
        <v>0</v>
      </c>
      <c r="U93" s="23">
        <f>IF(AG93="7",I93,0)</f>
        <v>0</v>
      </c>
      <c r="V93" s="23">
        <f>IF(AG93="2",H93,0)</f>
        <v>0</v>
      </c>
      <c r="W93" s="23">
        <f>IF(AG93="2",I93,0)</f>
        <v>0</v>
      </c>
      <c r="X93" s="23">
        <f>IF(AG93="0",J93,0)</f>
        <v>0</v>
      </c>
      <c r="Y93" s="67" t="s">
        <v>172</v>
      </c>
      <c r="Z93" s="4">
        <f>IF(AD93=0,J93,0)</f>
        <v>0</v>
      </c>
      <c r="AA93" s="4">
        <f>IF(AD93=15,J93,0)</f>
        <v>0</v>
      </c>
      <c r="AB93" s="4">
        <f>IF(AD93=21,J93,0)</f>
        <v>0</v>
      </c>
      <c r="AD93" s="23">
        <v>21</v>
      </c>
      <c r="AE93" s="23">
        <f>G93*0</f>
        <v>0</v>
      </c>
      <c r="AF93" s="23">
        <f>G93*(1-0)</f>
        <v>0</v>
      </c>
      <c r="AG93" s="72" t="s">
        <v>11</v>
      </c>
      <c r="AM93" s="23">
        <f>F93*AE93</f>
        <v>0</v>
      </c>
      <c r="AN93" s="23">
        <f>F93*AF93</f>
        <v>0</v>
      </c>
      <c r="AO93" s="75" t="s">
        <v>670</v>
      </c>
      <c r="AP93" s="75" t="s">
        <v>694</v>
      </c>
      <c r="AQ93" s="67" t="s">
        <v>709</v>
      </c>
      <c r="AS93" s="23">
        <f>AM93+AN93</f>
        <v>0</v>
      </c>
      <c r="AT93" s="23">
        <f>G93/(100-AU93)*100</f>
        <v>0</v>
      </c>
      <c r="AU93" s="23">
        <v>0</v>
      </c>
      <c r="AV93" s="23">
        <f>L93</f>
        <v>0</v>
      </c>
    </row>
    <row r="94" spans="1:37" ht="12.75">
      <c r="A94" s="52"/>
      <c r="B94" s="58" t="s">
        <v>172</v>
      </c>
      <c r="C94" s="58" t="s">
        <v>247</v>
      </c>
      <c r="D94" s="58" t="s">
        <v>431</v>
      </c>
      <c r="E94" s="52" t="s">
        <v>6</v>
      </c>
      <c r="F94" s="52" t="s">
        <v>6</v>
      </c>
      <c r="G94" s="64" t="s">
        <v>6</v>
      </c>
      <c r="H94" s="9">
        <f>SUM(H95:H96)</f>
        <v>0</v>
      </c>
      <c r="I94" s="9">
        <f>SUM(I95:I96)</f>
        <v>0</v>
      </c>
      <c r="J94" s="9">
        <f>H94+I94</f>
        <v>0</v>
      </c>
      <c r="K94" s="67"/>
      <c r="L94" s="9">
        <f>SUM(L95:L96)</f>
        <v>0.1532076</v>
      </c>
      <c r="M94" s="67"/>
      <c r="Y94" s="67" t="s">
        <v>172</v>
      </c>
      <c r="AI94" s="9">
        <f>SUM(Z95:Z96)</f>
        <v>0</v>
      </c>
      <c r="AJ94" s="9">
        <f>SUM(AA95:AA96)</f>
        <v>0</v>
      </c>
      <c r="AK94" s="9">
        <f>SUM(AB95:AB96)</f>
        <v>0</v>
      </c>
    </row>
    <row r="95" spans="1:48" ht="12.75">
      <c r="A95" s="1" t="s">
        <v>71</v>
      </c>
      <c r="B95" s="1" t="s">
        <v>172</v>
      </c>
      <c r="C95" s="1" t="s">
        <v>248</v>
      </c>
      <c r="D95" s="1" t="s">
        <v>432</v>
      </c>
      <c r="E95" s="1" t="s">
        <v>554</v>
      </c>
      <c r="F95" s="4">
        <f>'Rozpočet - vybrané sloupce'!BA94</f>
        <v>666.12</v>
      </c>
      <c r="G95" s="6">
        <f>'Rozpočet - vybrané sloupce'!BF94</f>
        <v>0</v>
      </c>
      <c r="H95" s="4">
        <f>F95*AE95</f>
        <v>0</v>
      </c>
      <c r="I95" s="4">
        <f>J95-H95</f>
        <v>0</v>
      </c>
      <c r="J95" s="4">
        <f>F95*G95</f>
        <v>0</v>
      </c>
      <c r="K95" s="4">
        <v>7E-05</v>
      </c>
      <c r="L95" s="4">
        <f>F95*K95</f>
        <v>0.04662839999999999</v>
      </c>
      <c r="M95" s="72" t="s">
        <v>643</v>
      </c>
      <c r="P95" s="23">
        <f>IF(AG95="5",J95,0)</f>
        <v>0</v>
      </c>
      <c r="R95" s="23">
        <f>IF(AG95="1",H95,0)</f>
        <v>0</v>
      </c>
      <c r="S95" s="23">
        <f>IF(AG95="1",I95,0)</f>
        <v>0</v>
      </c>
      <c r="T95" s="23">
        <f>IF(AG95="7",H95,0)</f>
        <v>0</v>
      </c>
      <c r="U95" s="23">
        <f>IF(AG95="7",I95,0)</f>
        <v>0</v>
      </c>
      <c r="V95" s="23">
        <f>IF(AG95="2",H95,0)</f>
        <v>0</v>
      </c>
      <c r="W95" s="23">
        <f>IF(AG95="2",I95,0)</f>
        <v>0</v>
      </c>
      <c r="X95" s="23">
        <f>IF(AG95="0",J95,0)</f>
        <v>0</v>
      </c>
      <c r="Y95" s="67" t="s">
        <v>172</v>
      </c>
      <c r="Z95" s="4">
        <f>IF(AD95=0,J95,0)</f>
        <v>0</v>
      </c>
      <c r="AA95" s="4">
        <f>IF(AD95=15,J95,0)</f>
        <v>0</v>
      </c>
      <c r="AB95" s="4">
        <f>IF(AD95=21,J95,0)</f>
        <v>0</v>
      </c>
      <c r="AD95" s="23">
        <v>21</v>
      </c>
      <c r="AE95" s="23">
        <f>G95*0.195757219543263</f>
        <v>0</v>
      </c>
      <c r="AF95" s="23">
        <f>G95*(1-0.195757219543263)</f>
        <v>0</v>
      </c>
      <c r="AG95" s="72" t="s">
        <v>13</v>
      </c>
      <c r="AM95" s="23">
        <f>F95*AE95</f>
        <v>0</v>
      </c>
      <c r="AN95" s="23">
        <f>F95*AF95</f>
        <v>0</v>
      </c>
      <c r="AO95" s="75" t="s">
        <v>671</v>
      </c>
      <c r="AP95" s="75" t="s">
        <v>695</v>
      </c>
      <c r="AQ95" s="67" t="s">
        <v>709</v>
      </c>
      <c r="AS95" s="23">
        <f>AM95+AN95</f>
        <v>0</v>
      </c>
      <c r="AT95" s="23">
        <f>G95/(100-AU95)*100</f>
        <v>0</v>
      </c>
      <c r="AU95" s="23">
        <v>0</v>
      </c>
      <c r="AV95" s="23">
        <f>L95</f>
        <v>0.04662839999999999</v>
      </c>
    </row>
    <row r="96" spans="1:48" ht="12.75">
      <c r="A96" s="1" t="s">
        <v>72</v>
      </c>
      <c r="B96" s="1" t="s">
        <v>172</v>
      </c>
      <c r="C96" s="1" t="s">
        <v>249</v>
      </c>
      <c r="D96" s="1" t="s">
        <v>433</v>
      </c>
      <c r="E96" s="1" t="s">
        <v>554</v>
      </c>
      <c r="F96" s="4">
        <f>'Rozpočet - vybrané sloupce'!BA95</f>
        <v>666.12</v>
      </c>
      <c r="G96" s="6">
        <f>'Rozpočet - vybrané sloupce'!BF95</f>
        <v>0</v>
      </c>
      <c r="H96" s="4">
        <f>F96*AE96</f>
        <v>0</v>
      </c>
      <c r="I96" s="4">
        <f>J96-H96</f>
        <v>0</v>
      </c>
      <c r="J96" s="4">
        <f>F96*G96</f>
        <v>0</v>
      </c>
      <c r="K96" s="4">
        <v>0.00016</v>
      </c>
      <c r="L96" s="4">
        <f>F96*K96</f>
        <v>0.10657920000000001</v>
      </c>
      <c r="M96" s="72" t="s">
        <v>643</v>
      </c>
      <c r="P96" s="23">
        <f>IF(AG96="5",J96,0)</f>
        <v>0</v>
      </c>
      <c r="R96" s="23">
        <f>IF(AG96="1",H96,0)</f>
        <v>0</v>
      </c>
      <c r="S96" s="23">
        <f>IF(AG96="1",I96,0)</f>
        <v>0</v>
      </c>
      <c r="T96" s="23">
        <f>IF(AG96="7",H96,0)</f>
        <v>0</v>
      </c>
      <c r="U96" s="23">
        <f>IF(AG96="7",I96,0)</f>
        <v>0</v>
      </c>
      <c r="V96" s="23">
        <f>IF(AG96="2",H96,0)</f>
        <v>0</v>
      </c>
      <c r="W96" s="23">
        <f>IF(AG96="2",I96,0)</f>
        <v>0</v>
      </c>
      <c r="X96" s="23">
        <f>IF(AG96="0",J96,0)</f>
        <v>0</v>
      </c>
      <c r="Y96" s="67" t="s">
        <v>172</v>
      </c>
      <c r="Z96" s="4">
        <f>IF(AD96=0,J96,0)</f>
        <v>0</v>
      </c>
      <c r="AA96" s="4">
        <f>IF(AD96=15,J96,0)</f>
        <v>0</v>
      </c>
      <c r="AB96" s="4">
        <f>IF(AD96=21,J96,0)</f>
        <v>0</v>
      </c>
      <c r="AD96" s="23">
        <v>21</v>
      </c>
      <c r="AE96" s="23">
        <f>G96*0.114682703649426</f>
        <v>0</v>
      </c>
      <c r="AF96" s="23">
        <f>G96*(1-0.114682703649426)</f>
        <v>0</v>
      </c>
      <c r="AG96" s="72" t="s">
        <v>13</v>
      </c>
      <c r="AM96" s="23">
        <f>F96*AE96</f>
        <v>0</v>
      </c>
      <c r="AN96" s="23">
        <f>F96*AF96</f>
        <v>0</v>
      </c>
      <c r="AO96" s="75" t="s">
        <v>671</v>
      </c>
      <c r="AP96" s="75" t="s">
        <v>695</v>
      </c>
      <c r="AQ96" s="67" t="s">
        <v>709</v>
      </c>
      <c r="AS96" s="23">
        <f>AM96+AN96</f>
        <v>0</v>
      </c>
      <c r="AT96" s="23">
        <f>G96/(100-AU96)*100</f>
        <v>0</v>
      </c>
      <c r="AU96" s="23">
        <v>0</v>
      </c>
      <c r="AV96" s="23">
        <f>L96</f>
        <v>0.10657920000000001</v>
      </c>
    </row>
    <row r="97" spans="1:37" ht="12.75">
      <c r="A97" s="52"/>
      <c r="B97" s="58" t="s">
        <v>172</v>
      </c>
      <c r="C97" s="58" t="s">
        <v>100</v>
      </c>
      <c r="D97" s="58" t="s">
        <v>434</v>
      </c>
      <c r="E97" s="52" t="s">
        <v>6</v>
      </c>
      <c r="F97" s="52" t="s">
        <v>6</v>
      </c>
      <c r="G97" s="64" t="s">
        <v>6</v>
      </c>
      <c r="H97" s="9">
        <f>SUM(H98:H101)</f>
        <v>0</v>
      </c>
      <c r="I97" s="9">
        <f>SUM(I98:I101)</f>
        <v>0</v>
      </c>
      <c r="J97" s="9">
        <f>H97+I97</f>
        <v>0</v>
      </c>
      <c r="K97" s="67"/>
      <c r="L97" s="9">
        <f>SUM(L98:L101)</f>
        <v>13.304453600000002</v>
      </c>
      <c r="M97" s="67"/>
      <c r="Y97" s="67" t="s">
        <v>172</v>
      </c>
      <c r="AI97" s="9">
        <f>SUM(Z98:Z101)</f>
        <v>0</v>
      </c>
      <c r="AJ97" s="9">
        <f>SUM(AA98:AA101)</f>
        <v>0</v>
      </c>
      <c r="AK97" s="9">
        <f>SUM(AB98:AB101)</f>
        <v>0</v>
      </c>
    </row>
    <row r="98" spans="1:48" ht="12.75">
      <c r="A98" s="1" t="s">
        <v>73</v>
      </c>
      <c r="B98" s="1" t="s">
        <v>172</v>
      </c>
      <c r="C98" s="1" t="s">
        <v>250</v>
      </c>
      <c r="D98" s="1" t="s">
        <v>435</v>
      </c>
      <c r="E98" s="1" t="s">
        <v>554</v>
      </c>
      <c r="F98" s="4">
        <f>'Rozpočet - vybrané sloupce'!BA97</f>
        <v>634.4</v>
      </c>
      <c r="G98" s="6">
        <f>'Rozpočet - vybrané sloupce'!BF97</f>
        <v>0</v>
      </c>
      <c r="H98" s="4">
        <f>F98*AE98</f>
        <v>0</v>
      </c>
      <c r="I98" s="4">
        <f>J98-H98</f>
        <v>0</v>
      </c>
      <c r="J98" s="4">
        <f>F98*G98</f>
        <v>0</v>
      </c>
      <c r="K98" s="4">
        <v>0.00158</v>
      </c>
      <c r="L98" s="4">
        <f>F98*K98</f>
        <v>1.002352</v>
      </c>
      <c r="M98" s="72" t="s">
        <v>643</v>
      </c>
      <c r="P98" s="23">
        <f>IF(AG98="5",J98,0)</f>
        <v>0</v>
      </c>
      <c r="R98" s="23">
        <f>IF(AG98="1",H98,0)</f>
        <v>0</v>
      </c>
      <c r="S98" s="23">
        <f>IF(AG98="1",I98,0)</f>
        <v>0</v>
      </c>
      <c r="T98" s="23">
        <f>IF(AG98="7",H98,0)</f>
        <v>0</v>
      </c>
      <c r="U98" s="23">
        <f>IF(AG98="7",I98,0)</f>
        <v>0</v>
      </c>
      <c r="V98" s="23">
        <f>IF(AG98="2",H98,0)</f>
        <v>0</v>
      </c>
      <c r="W98" s="23">
        <f>IF(AG98="2",I98,0)</f>
        <v>0</v>
      </c>
      <c r="X98" s="23">
        <f>IF(AG98="0",J98,0)</f>
        <v>0</v>
      </c>
      <c r="Y98" s="67" t="s">
        <v>172</v>
      </c>
      <c r="Z98" s="4">
        <f>IF(AD98=0,J98,0)</f>
        <v>0</v>
      </c>
      <c r="AA98" s="4">
        <f>IF(AD98=15,J98,0)</f>
        <v>0</v>
      </c>
      <c r="AB98" s="4">
        <f>IF(AD98=21,J98,0)</f>
        <v>0</v>
      </c>
      <c r="AD98" s="23">
        <v>21</v>
      </c>
      <c r="AE98" s="23">
        <f>G98*0.392365145228216</f>
        <v>0</v>
      </c>
      <c r="AF98" s="23">
        <f>G98*(1-0.392365145228216)</f>
        <v>0</v>
      </c>
      <c r="AG98" s="72" t="s">
        <v>7</v>
      </c>
      <c r="AM98" s="23">
        <f>F98*AE98</f>
        <v>0</v>
      </c>
      <c r="AN98" s="23">
        <f>F98*AF98</f>
        <v>0</v>
      </c>
      <c r="AO98" s="75" t="s">
        <v>672</v>
      </c>
      <c r="AP98" s="75" t="s">
        <v>696</v>
      </c>
      <c r="AQ98" s="67" t="s">
        <v>709</v>
      </c>
      <c r="AS98" s="23">
        <f>AM98+AN98</f>
        <v>0</v>
      </c>
      <c r="AT98" s="23">
        <f>G98/(100-AU98)*100</f>
        <v>0</v>
      </c>
      <c r="AU98" s="23">
        <v>0</v>
      </c>
      <c r="AV98" s="23">
        <f>L98</f>
        <v>1.002352</v>
      </c>
    </row>
    <row r="99" spans="1:48" ht="12.75">
      <c r="A99" s="1" t="s">
        <v>74</v>
      </c>
      <c r="B99" s="1" t="s">
        <v>172</v>
      </c>
      <c r="C99" s="1" t="s">
        <v>251</v>
      </c>
      <c r="D99" s="1" t="s">
        <v>436</v>
      </c>
      <c r="E99" s="1" t="s">
        <v>554</v>
      </c>
      <c r="F99" s="4">
        <f>'Rozpočet - vybrané sloupce'!BA98</f>
        <v>669.32</v>
      </c>
      <c r="G99" s="6">
        <f>'Rozpočet - vybrané sloupce'!BF98</f>
        <v>0</v>
      </c>
      <c r="H99" s="4">
        <f>F99*AE99</f>
        <v>0</v>
      </c>
      <c r="I99" s="4">
        <f>J99-H99</f>
        <v>0</v>
      </c>
      <c r="J99" s="4">
        <f>F99*G99</f>
        <v>0</v>
      </c>
      <c r="K99" s="4">
        <v>0.01838</v>
      </c>
      <c r="L99" s="4">
        <f>F99*K99</f>
        <v>12.302101600000002</v>
      </c>
      <c r="M99" s="72" t="s">
        <v>643</v>
      </c>
      <c r="P99" s="23">
        <f>IF(AG99="5",J99,0)</f>
        <v>0</v>
      </c>
      <c r="R99" s="23">
        <f>IF(AG99="1",H99,0)</f>
        <v>0</v>
      </c>
      <c r="S99" s="23">
        <f>IF(AG99="1",I99,0)</f>
        <v>0</v>
      </c>
      <c r="T99" s="23">
        <f>IF(AG99="7",H99,0)</f>
        <v>0</v>
      </c>
      <c r="U99" s="23">
        <f>IF(AG99="7",I99,0)</f>
        <v>0</v>
      </c>
      <c r="V99" s="23">
        <f>IF(AG99="2",H99,0)</f>
        <v>0</v>
      </c>
      <c r="W99" s="23">
        <f>IF(AG99="2",I99,0)</f>
        <v>0</v>
      </c>
      <c r="X99" s="23">
        <f>IF(AG99="0",J99,0)</f>
        <v>0</v>
      </c>
      <c r="Y99" s="67" t="s">
        <v>172</v>
      </c>
      <c r="Z99" s="4">
        <f>IF(AD99=0,J99,0)</f>
        <v>0</v>
      </c>
      <c r="AA99" s="4">
        <f>IF(AD99=15,J99,0)</f>
        <v>0</v>
      </c>
      <c r="AB99" s="4">
        <f>IF(AD99=21,J99,0)</f>
        <v>0</v>
      </c>
      <c r="AD99" s="23">
        <v>21</v>
      </c>
      <c r="AE99" s="23">
        <f>G99*0.000562746977416805</f>
        <v>0</v>
      </c>
      <c r="AF99" s="23">
        <f>G99*(1-0.000562746977416805)</f>
        <v>0</v>
      </c>
      <c r="AG99" s="72" t="s">
        <v>7</v>
      </c>
      <c r="AM99" s="23">
        <f>F99*AE99</f>
        <v>0</v>
      </c>
      <c r="AN99" s="23">
        <f>F99*AF99</f>
        <v>0</v>
      </c>
      <c r="AO99" s="75" t="s">
        <v>672</v>
      </c>
      <c r="AP99" s="75" t="s">
        <v>696</v>
      </c>
      <c r="AQ99" s="67" t="s">
        <v>709</v>
      </c>
      <c r="AS99" s="23">
        <f>AM99+AN99</f>
        <v>0</v>
      </c>
      <c r="AT99" s="23">
        <f>G99/(100-AU99)*100</f>
        <v>0</v>
      </c>
      <c r="AU99" s="23">
        <v>0</v>
      </c>
      <c r="AV99" s="23">
        <f>L99</f>
        <v>12.302101600000002</v>
      </c>
    </row>
    <row r="100" spans="1:48" ht="12.75">
      <c r="A100" s="1" t="s">
        <v>75</v>
      </c>
      <c r="B100" s="1" t="s">
        <v>172</v>
      </c>
      <c r="C100" s="1" t="s">
        <v>252</v>
      </c>
      <c r="D100" s="1" t="s">
        <v>437</v>
      </c>
      <c r="E100" s="1" t="s">
        <v>554</v>
      </c>
      <c r="F100" s="4">
        <f>'Rozpočet - vybrané sloupce'!BA99</f>
        <v>2007.96</v>
      </c>
      <c r="G100" s="6">
        <f>'Rozpočet - vybrané sloupce'!BF99</f>
        <v>0</v>
      </c>
      <c r="H100" s="4">
        <f>F100*AE100</f>
        <v>0</v>
      </c>
      <c r="I100" s="4">
        <f>J100-H100</f>
        <v>0</v>
      </c>
      <c r="J100" s="4">
        <f>F100*G100</f>
        <v>0</v>
      </c>
      <c r="K100" s="4">
        <v>0</v>
      </c>
      <c r="L100" s="4">
        <f>F100*K100</f>
        <v>0</v>
      </c>
      <c r="M100" s="72" t="s">
        <v>643</v>
      </c>
      <c r="P100" s="23">
        <f>IF(AG100="5",J100,0)</f>
        <v>0</v>
      </c>
      <c r="R100" s="23">
        <f>IF(AG100="1",H100,0)</f>
        <v>0</v>
      </c>
      <c r="S100" s="23">
        <f>IF(AG100="1",I100,0)</f>
        <v>0</v>
      </c>
      <c r="T100" s="23">
        <f>IF(AG100="7",H100,0)</f>
        <v>0</v>
      </c>
      <c r="U100" s="23">
        <f>IF(AG100="7",I100,0)</f>
        <v>0</v>
      </c>
      <c r="V100" s="23">
        <f>IF(AG100="2",H100,0)</f>
        <v>0</v>
      </c>
      <c r="W100" s="23">
        <f>IF(AG100="2",I100,0)</f>
        <v>0</v>
      </c>
      <c r="X100" s="23">
        <f>IF(AG100="0",J100,0)</f>
        <v>0</v>
      </c>
      <c r="Y100" s="67" t="s">
        <v>172</v>
      </c>
      <c r="Z100" s="4">
        <f>IF(AD100=0,J100,0)</f>
        <v>0</v>
      </c>
      <c r="AA100" s="4">
        <f>IF(AD100=15,J100,0)</f>
        <v>0</v>
      </c>
      <c r="AB100" s="4">
        <f>IF(AD100=21,J100,0)</f>
        <v>0</v>
      </c>
      <c r="AD100" s="23">
        <v>21</v>
      </c>
      <c r="AE100" s="23">
        <f>G100*0</f>
        <v>0</v>
      </c>
      <c r="AF100" s="23">
        <f>G100*(1-0)</f>
        <v>0</v>
      </c>
      <c r="AG100" s="72" t="s">
        <v>7</v>
      </c>
      <c r="AM100" s="23">
        <f>F100*AE100</f>
        <v>0</v>
      </c>
      <c r="AN100" s="23">
        <f>F100*AF100</f>
        <v>0</v>
      </c>
      <c r="AO100" s="75" t="s">
        <v>672</v>
      </c>
      <c r="AP100" s="75" t="s">
        <v>696</v>
      </c>
      <c r="AQ100" s="67" t="s">
        <v>709</v>
      </c>
      <c r="AS100" s="23">
        <f>AM100+AN100</f>
        <v>0</v>
      </c>
      <c r="AT100" s="23">
        <f>G100/(100-AU100)*100</f>
        <v>0</v>
      </c>
      <c r="AU100" s="23">
        <v>0</v>
      </c>
      <c r="AV100" s="23">
        <f>L100</f>
        <v>0</v>
      </c>
    </row>
    <row r="101" spans="1:48" ht="12.75">
      <c r="A101" s="1" t="s">
        <v>76</v>
      </c>
      <c r="B101" s="1" t="s">
        <v>172</v>
      </c>
      <c r="C101" s="1" t="s">
        <v>253</v>
      </c>
      <c r="D101" s="1" t="s">
        <v>438</v>
      </c>
      <c r="E101" s="1" t="s">
        <v>554</v>
      </c>
      <c r="F101" s="4">
        <f>'Rozpočet - vybrané sloupce'!BA100</f>
        <v>669.32</v>
      </c>
      <c r="G101" s="6">
        <f>'Rozpočet - vybrané sloupce'!BF100</f>
        <v>0</v>
      </c>
      <c r="H101" s="4">
        <f>F101*AE101</f>
        <v>0</v>
      </c>
      <c r="I101" s="4">
        <f>J101-H101</f>
        <v>0</v>
      </c>
      <c r="J101" s="4">
        <f>F101*G101</f>
        <v>0</v>
      </c>
      <c r="K101" s="4">
        <v>0</v>
      </c>
      <c r="L101" s="4">
        <f>F101*K101</f>
        <v>0</v>
      </c>
      <c r="M101" s="72" t="s">
        <v>643</v>
      </c>
      <c r="P101" s="23">
        <f>IF(AG101="5",J101,0)</f>
        <v>0</v>
      </c>
      <c r="R101" s="23">
        <f>IF(AG101="1",H101,0)</f>
        <v>0</v>
      </c>
      <c r="S101" s="23">
        <f>IF(AG101="1",I101,0)</f>
        <v>0</v>
      </c>
      <c r="T101" s="23">
        <f>IF(AG101="7",H101,0)</f>
        <v>0</v>
      </c>
      <c r="U101" s="23">
        <f>IF(AG101="7",I101,0)</f>
        <v>0</v>
      </c>
      <c r="V101" s="23">
        <f>IF(AG101="2",H101,0)</f>
        <v>0</v>
      </c>
      <c r="W101" s="23">
        <f>IF(AG101="2",I101,0)</f>
        <v>0</v>
      </c>
      <c r="X101" s="23">
        <f>IF(AG101="0",J101,0)</f>
        <v>0</v>
      </c>
      <c r="Y101" s="67" t="s">
        <v>172</v>
      </c>
      <c r="Z101" s="4">
        <f>IF(AD101=0,J101,0)</f>
        <v>0</v>
      </c>
      <c r="AA101" s="4">
        <f>IF(AD101=15,J101,0)</f>
        <v>0</v>
      </c>
      <c r="AB101" s="4">
        <f>IF(AD101=21,J101,0)</f>
        <v>0</v>
      </c>
      <c r="AD101" s="23">
        <v>21</v>
      </c>
      <c r="AE101" s="23">
        <f>G101*0</f>
        <v>0</v>
      </c>
      <c r="AF101" s="23">
        <f>G101*(1-0)</f>
        <v>0</v>
      </c>
      <c r="AG101" s="72" t="s">
        <v>7</v>
      </c>
      <c r="AM101" s="23">
        <f>F101*AE101</f>
        <v>0</v>
      </c>
      <c r="AN101" s="23">
        <f>F101*AF101</f>
        <v>0</v>
      </c>
      <c r="AO101" s="75" t="s">
        <v>672</v>
      </c>
      <c r="AP101" s="75" t="s">
        <v>696</v>
      </c>
      <c r="AQ101" s="67" t="s">
        <v>709</v>
      </c>
      <c r="AS101" s="23">
        <f>AM101+AN101</f>
        <v>0</v>
      </c>
      <c r="AT101" s="23">
        <f>G101/(100-AU101)*100</f>
        <v>0</v>
      </c>
      <c r="AU101" s="23">
        <v>0</v>
      </c>
      <c r="AV101" s="23">
        <f>L101</f>
        <v>0</v>
      </c>
    </row>
    <row r="102" spans="1:37" ht="12.75">
      <c r="A102" s="52"/>
      <c r="B102" s="58" t="s">
        <v>172</v>
      </c>
      <c r="C102" s="58" t="s">
        <v>101</v>
      </c>
      <c r="D102" s="58" t="s">
        <v>439</v>
      </c>
      <c r="E102" s="52" t="s">
        <v>6</v>
      </c>
      <c r="F102" s="52" t="s">
        <v>6</v>
      </c>
      <c r="G102" s="64" t="s">
        <v>6</v>
      </c>
      <c r="H102" s="9">
        <f>SUM(H103:H106)</f>
        <v>0</v>
      </c>
      <c r="I102" s="9">
        <f>SUM(I103:I106)</f>
        <v>0</v>
      </c>
      <c r="J102" s="9">
        <f>H102+I102</f>
        <v>0</v>
      </c>
      <c r="K102" s="67"/>
      <c r="L102" s="9">
        <f>SUM(L103:L106)</f>
        <v>0.025376000000000003</v>
      </c>
      <c r="M102" s="67"/>
      <c r="Y102" s="67" t="s">
        <v>172</v>
      </c>
      <c r="AI102" s="9">
        <f>SUM(Z103:Z106)</f>
        <v>0</v>
      </c>
      <c r="AJ102" s="9">
        <f>SUM(AA103:AA106)</f>
        <v>0</v>
      </c>
      <c r="AK102" s="9">
        <f>SUM(AB103:AB106)</f>
        <v>0</v>
      </c>
    </row>
    <row r="103" spans="1:48" ht="12.75">
      <c r="A103" s="1" t="s">
        <v>77</v>
      </c>
      <c r="B103" s="1" t="s">
        <v>172</v>
      </c>
      <c r="C103" s="1" t="s">
        <v>254</v>
      </c>
      <c r="D103" s="1" t="s">
        <v>440</v>
      </c>
      <c r="E103" s="1" t="s">
        <v>554</v>
      </c>
      <c r="F103" s="4">
        <f>'Rozpočet - vybrané sloupce'!BA102</f>
        <v>634.4</v>
      </c>
      <c r="G103" s="6">
        <f>'Rozpočet - vybrané sloupce'!BF102</f>
        <v>0</v>
      </c>
      <c r="H103" s="4">
        <f>F103*AE103</f>
        <v>0</v>
      </c>
      <c r="I103" s="4">
        <f>J103-H103</f>
        <v>0</v>
      </c>
      <c r="J103" s="4">
        <f>F103*G103</f>
        <v>0</v>
      </c>
      <c r="K103" s="4">
        <v>4E-05</v>
      </c>
      <c r="L103" s="4">
        <f>F103*K103</f>
        <v>0.025376000000000003</v>
      </c>
      <c r="M103" s="72" t="s">
        <v>643</v>
      </c>
      <c r="P103" s="23">
        <f>IF(AG103="5",J103,0)</f>
        <v>0</v>
      </c>
      <c r="R103" s="23">
        <f>IF(AG103="1",H103,0)</f>
        <v>0</v>
      </c>
      <c r="S103" s="23">
        <f>IF(AG103="1",I103,0)</f>
        <v>0</v>
      </c>
      <c r="T103" s="23">
        <f>IF(AG103="7",H103,0)</f>
        <v>0</v>
      </c>
      <c r="U103" s="23">
        <f>IF(AG103="7",I103,0)</f>
        <v>0</v>
      </c>
      <c r="V103" s="23">
        <f>IF(AG103="2",H103,0)</f>
        <v>0</v>
      </c>
      <c r="W103" s="23">
        <f>IF(AG103="2",I103,0)</f>
        <v>0</v>
      </c>
      <c r="X103" s="23">
        <f>IF(AG103="0",J103,0)</f>
        <v>0</v>
      </c>
      <c r="Y103" s="67" t="s">
        <v>172</v>
      </c>
      <c r="Z103" s="4">
        <f>IF(AD103=0,J103,0)</f>
        <v>0</v>
      </c>
      <c r="AA103" s="4">
        <f>IF(AD103=15,J103,0)</f>
        <v>0</v>
      </c>
      <c r="AB103" s="4">
        <f>IF(AD103=21,J103,0)</f>
        <v>0</v>
      </c>
      <c r="AD103" s="23">
        <v>21</v>
      </c>
      <c r="AE103" s="23">
        <f>G103*0.0144264351862743</f>
        <v>0</v>
      </c>
      <c r="AF103" s="23">
        <f>G103*(1-0.0144264351862743)</f>
        <v>0</v>
      </c>
      <c r="AG103" s="72" t="s">
        <v>7</v>
      </c>
      <c r="AM103" s="23">
        <f>F103*AE103</f>
        <v>0</v>
      </c>
      <c r="AN103" s="23">
        <f>F103*AF103</f>
        <v>0</v>
      </c>
      <c r="AO103" s="75" t="s">
        <v>673</v>
      </c>
      <c r="AP103" s="75" t="s">
        <v>696</v>
      </c>
      <c r="AQ103" s="67" t="s">
        <v>709</v>
      </c>
      <c r="AS103" s="23">
        <f>AM103+AN103</f>
        <v>0</v>
      </c>
      <c r="AT103" s="23">
        <f>G103/(100-AU103)*100</f>
        <v>0</v>
      </c>
      <c r="AU103" s="23">
        <v>0</v>
      </c>
      <c r="AV103" s="23">
        <f>L103</f>
        <v>0.025376000000000003</v>
      </c>
    </row>
    <row r="104" spans="1:48" ht="12.75">
      <c r="A104" s="1" t="s">
        <v>78</v>
      </c>
      <c r="B104" s="1" t="s">
        <v>172</v>
      </c>
      <c r="C104" s="1" t="s">
        <v>255</v>
      </c>
      <c r="D104" s="1" t="s">
        <v>441</v>
      </c>
      <c r="E104" s="1" t="s">
        <v>555</v>
      </c>
      <c r="F104" s="4">
        <f>'Rozpočet - vybrané sloupce'!BA103</f>
        <v>12</v>
      </c>
      <c r="G104" s="6">
        <f>'Rozpočet - vybrané sloupce'!BF103</f>
        <v>0</v>
      </c>
      <c r="H104" s="4">
        <f>F104*AE104</f>
        <v>0</v>
      </c>
      <c r="I104" s="4">
        <f>J104-H104</f>
        <v>0</v>
      </c>
      <c r="J104" s="4">
        <f>F104*G104</f>
        <v>0</v>
      </c>
      <c r="K104" s="4">
        <v>0</v>
      </c>
      <c r="L104" s="4">
        <f>F104*K104</f>
        <v>0</v>
      </c>
      <c r="M104" s="72" t="s">
        <v>643</v>
      </c>
      <c r="P104" s="23">
        <f>IF(AG104="5",J104,0)</f>
        <v>0</v>
      </c>
      <c r="R104" s="23">
        <f>IF(AG104="1",H104,0)</f>
        <v>0</v>
      </c>
      <c r="S104" s="23">
        <f>IF(AG104="1",I104,0)</f>
        <v>0</v>
      </c>
      <c r="T104" s="23">
        <f>IF(AG104="7",H104,0)</f>
        <v>0</v>
      </c>
      <c r="U104" s="23">
        <f>IF(AG104="7",I104,0)</f>
        <v>0</v>
      </c>
      <c r="V104" s="23">
        <f>IF(AG104="2",H104,0)</f>
        <v>0</v>
      </c>
      <c r="W104" s="23">
        <f>IF(AG104="2",I104,0)</f>
        <v>0</v>
      </c>
      <c r="X104" s="23">
        <f>IF(AG104="0",J104,0)</f>
        <v>0</v>
      </c>
      <c r="Y104" s="67" t="s">
        <v>172</v>
      </c>
      <c r="Z104" s="4">
        <f>IF(AD104=0,J104,0)</f>
        <v>0</v>
      </c>
      <c r="AA104" s="4">
        <f>IF(AD104=15,J104,0)</f>
        <v>0</v>
      </c>
      <c r="AB104" s="4">
        <f>IF(AD104=21,J104,0)</f>
        <v>0</v>
      </c>
      <c r="AD104" s="23">
        <v>21</v>
      </c>
      <c r="AE104" s="23">
        <f>G104*0.63768115942029</f>
        <v>0</v>
      </c>
      <c r="AF104" s="23">
        <f>G104*(1-0.63768115942029)</f>
        <v>0</v>
      </c>
      <c r="AG104" s="72" t="s">
        <v>7</v>
      </c>
      <c r="AM104" s="23">
        <f>F104*AE104</f>
        <v>0</v>
      </c>
      <c r="AN104" s="23">
        <f>F104*AF104</f>
        <v>0</v>
      </c>
      <c r="AO104" s="75" t="s">
        <v>673</v>
      </c>
      <c r="AP104" s="75" t="s">
        <v>696</v>
      </c>
      <c r="AQ104" s="67" t="s">
        <v>709</v>
      </c>
      <c r="AS104" s="23">
        <f>AM104+AN104</f>
        <v>0</v>
      </c>
      <c r="AT104" s="23">
        <f>G104/(100-AU104)*100</f>
        <v>0</v>
      </c>
      <c r="AU104" s="23">
        <v>0</v>
      </c>
      <c r="AV104" s="23">
        <f>L104</f>
        <v>0</v>
      </c>
    </row>
    <row r="105" spans="1:48" ht="12.75">
      <c r="A105" s="1" t="s">
        <v>79</v>
      </c>
      <c r="B105" s="1" t="s">
        <v>172</v>
      </c>
      <c r="C105" s="1" t="s">
        <v>256</v>
      </c>
      <c r="D105" s="1" t="s">
        <v>442</v>
      </c>
      <c r="E105" s="1" t="s">
        <v>555</v>
      </c>
      <c r="F105" s="4">
        <f>'Rozpočet - vybrané sloupce'!BA104</f>
        <v>1</v>
      </c>
      <c r="G105" s="6">
        <f>'Rozpočet - vybrané sloupce'!BF104</f>
        <v>0</v>
      </c>
      <c r="H105" s="4">
        <f>F105*AE105</f>
        <v>0</v>
      </c>
      <c r="I105" s="4">
        <f>J105-H105</f>
        <v>0</v>
      </c>
      <c r="J105" s="4">
        <f>F105*G105</f>
        <v>0</v>
      </c>
      <c r="K105" s="4">
        <v>0</v>
      </c>
      <c r="L105" s="4">
        <f>F105*K105</f>
        <v>0</v>
      </c>
      <c r="M105" s="72" t="s">
        <v>643</v>
      </c>
      <c r="P105" s="23">
        <f>IF(AG105="5",J105,0)</f>
        <v>0</v>
      </c>
      <c r="R105" s="23">
        <f>IF(AG105="1",H105,0)</f>
        <v>0</v>
      </c>
      <c r="S105" s="23">
        <f>IF(AG105="1",I105,0)</f>
        <v>0</v>
      </c>
      <c r="T105" s="23">
        <f>IF(AG105="7",H105,0)</f>
        <v>0</v>
      </c>
      <c r="U105" s="23">
        <f>IF(AG105="7",I105,0)</f>
        <v>0</v>
      </c>
      <c r="V105" s="23">
        <f>IF(AG105="2",H105,0)</f>
        <v>0</v>
      </c>
      <c r="W105" s="23">
        <f>IF(AG105="2",I105,0)</f>
        <v>0</v>
      </c>
      <c r="X105" s="23">
        <f>IF(AG105="0",J105,0)</f>
        <v>0</v>
      </c>
      <c r="Y105" s="67" t="s">
        <v>172</v>
      </c>
      <c r="Z105" s="4">
        <f>IF(AD105=0,J105,0)</f>
        <v>0</v>
      </c>
      <c r="AA105" s="4">
        <f>IF(AD105=15,J105,0)</f>
        <v>0</v>
      </c>
      <c r="AB105" s="4">
        <f>IF(AD105=21,J105,0)</f>
        <v>0</v>
      </c>
      <c r="AD105" s="23">
        <v>21</v>
      </c>
      <c r="AE105" s="23">
        <f>G105*0.686274509803922</f>
        <v>0</v>
      </c>
      <c r="AF105" s="23">
        <f>G105*(1-0.686274509803922)</f>
        <v>0</v>
      </c>
      <c r="AG105" s="72" t="s">
        <v>7</v>
      </c>
      <c r="AM105" s="23">
        <f>F105*AE105</f>
        <v>0</v>
      </c>
      <c r="AN105" s="23">
        <f>F105*AF105</f>
        <v>0</v>
      </c>
      <c r="AO105" s="75" t="s">
        <v>673</v>
      </c>
      <c r="AP105" s="75" t="s">
        <v>696</v>
      </c>
      <c r="AQ105" s="67" t="s">
        <v>709</v>
      </c>
      <c r="AS105" s="23">
        <f>AM105+AN105</f>
        <v>0</v>
      </c>
      <c r="AT105" s="23">
        <f>G105/(100-AU105)*100</f>
        <v>0</v>
      </c>
      <c r="AU105" s="23">
        <v>0</v>
      </c>
      <c r="AV105" s="23">
        <f>L105</f>
        <v>0</v>
      </c>
    </row>
    <row r="106" spans="1:48" ht="12.75">
      <c r="A106" s="1" t="s">
        <v>80</v>
      </c>
      <c r="B106" s="1" t="s">
        <v>172</v>
      </c>
      <c r="C106" s="1" t="s">
        <v>257</v>
      </c>
      <c r="D106" s="1" t="s">
        <v>443</v>
      </c>
      <c r="E106" s="1" t="s">
        <v>558</v>
      </c>
      <c r="F106" s="4">
        <f>'Rozpočet - vybrané sloupce'!BA105</f>
        <v>1</v>
      </c>
      <c r="G106" s="6">
        <f>'Rozpočet - vybrané sloupce'!BF105</f>
        <v>0</v>
      </c>
      <c r="H106" s="4">
        <f>F106*AE106</f>
        <v>0</v>
      </c>
      <c r="I106" s="4">
        <f>J106-H106</f>
        <v>0</v>
      </c>
      <c r="J106" s="4">
        <f>F106*G106</f>
        <v>0</v>
      </c>
      <c r="K106" s="4">
        <v>0</v>
      </c>
      <c r="L106" s="4">
        <f>F106*K106</f>
        <v>0</v>
      </c>
      <c r="M106" s="72" t="s">
        <v>643</v>
      </c>
      <c r="P106" s="23">
        <f>IF(AG106="5",J106,0)</f>
        <v>0</v>
      </c>
      <c r="R106" s="23">
        <f>IF(AG106="1",H106,0)</f>
        <v>0</v>
      </c>
      <c r="S106" s="23">
        <f>IF(AG106="1",I106,0)</f>
        <v>0</v>
      </c>
      <c r="T106" s="23">
        <f>IF(AG106="7",H106,0)</f>
        <v>0</v>
      </c>
      <c r="U106" s="23">
        <f>IF(AG106="7",I106,0)</f>
        <v>0</v>
      </c>
      <c r="V106" s="23">
        <f>IF(AG106="2",H106,0)</f>
        <v>0</v>
      </c>
      <c r="W106" s="23">
        <f>IF(AG106="2",I106,0)</f>
        <v>0</v>
      </c>
      <c r="X106" s="23">
        <f>IF(AG106="0",J106,0)</f>
        <v>0</v>
      </c>
      <c r="Y106" s="67" t="s">
        <v>172</v>
      </c>
      <c r="Z106" s="4">
        <f>IF(AD106=0,J106,0)</f>
        <v>0</v>
      </c>
      <c r="AA106" s="4">
        <f>IF(AD106=15,J106,0)</f>
        <v>0</v>
      </c>
      <c r="AB106" s="4">
        <f>IF(AD106=21,J106,0)</f>
        <v>0</v>
      </c>
      <c r="AD106" s="23">
        <v>21</v>
      </c>
      <c r="AE106" s="23">
        <f>G106*0.652173913043478</f>
        <v>0</v>
      </c>
      <c r="AF106" s="23">
        <f>G106*(1-0.652173913043478)</f>
        <v>0</v>
      </c>
      <c r="AG106" s="72" t="s">
        <v>7</v>
      </c>
      <c r="AM106" s="23">
        <f>F106*AE106</f>
        <v>0</v>
      </c>
      <c r="AN106" s="23">
        <f>F106*AF106</f>
        <v>0</v>
      </c>
      <c r="AO106" s="75" t="s">
        <v>673</v>
      </c>
      <c r="AP106" s="75" t="s">
        <v>696</v>
      </c>
      <c r="AQ106" s="67" t="s">
        <v>709</v>
      </c>
      <c r="AS106" s="23">
        <f>AM106+AN106</f>
        <v>0</v>
      </c>
      <c r="AT106" s="23">
        <f>G106/(100-AU106)*100</f>
        <v>0</v>
      </c>
      <c r="AU106" s="23">
        <v>0</v>
      </c>
      <c r="AV106" s="23">
        <f>L106</f>
        <v>0</v>
      </c>
    </row>
    <row r="107" spans="1:37" ht="12.75">
      <c r="A107" s="52"/>
      <c r="B107" s="58" t="s">
        <v>172</v>
      </c>
      <c r="C107" s="58" t="s">
        <v>258</v>
      </c>
      <c r="D107" s="58" t="s">
        <v>444</v>
      </c>
      <c r="E107" s="52" t="s">
        <v>6</v>
      </c>
      <c r="F107" s="52" t="s">
        <v>6</v>
      </c>
      <c r="G107" s="64" t="s">
        <v>6</v>
      </c>
      <c r="H107" s="9">
        <f>SUM(H108:H108)</f>
        <v>0</v>
      </c>
      <c r="I107" s="9">
        <f>SUM(I108:I108)</f>
        <v>0</v>
      </c>
      <c r="J107" s="9">
        <f>H107+I107</f>
        <v>0</v>
      </c>
      <c r="K107" s="67"/>
      <c r="L107" s="9">
        <f>SUM(L108:L108)</f>
        <v>0</v>
      </c>
      <c r="M107" s="67"/>
      <c r="Y107" s="67" t="s">
        <v>172</v>
      </c>
      <c r="AI107" s="9">
        <f>SUM(Z108:Z108)</f>
        <v>0</v>
      </c>
      <c r="AJ107" s="9">
        <f>SUM(AA108:AA108)</f>
        <v>0</v>
      </c>
      <c r="AK107" s="9">
        <f>SUM(AB108:AB108)</f>
        <v>0</v>
      </c>
    </row>
    <row r="108" spans="1:48" ht="12.75">
      <c r="A108" s="1" t="s">
        <v>81</v>
      </c>
      <c r="B108" s="1" t="s">
        <v>172</v>
      </c>
      <c r="C108" s="1" t="s">
        <v>259</v>
      </c>
      <c r="D108" s="1" t="s">
        <v>445</v>
      </c>
      <c r="E108" s="1" t="s">
        <v>553</v>
      </c>
      <c r="F108" s="4">
        <f>'Rozpočet - vybrané sloupce'!BA107</f>
        <v>915.52</v>
      </c>
      <c r="G108" s="6">
        <f>'Rozpočet - vybrané sloupce'!BF107</f>
        <v>0</v>
      </c>
      <c r="H108" s="4">
        <f>F108*AE108</f>
        <v>0</v>
      </c>
      <c r="I108" s="4">
        <f>J108-H108</f>
        <v>0</v>
      </c>
      <c r="J108" s="4">
        <f>F108*G108</f>
        <v>0</v>
      </c>
      <c r="K108" s="4">
        <v>0</v>
      </c>
      <c r="L108" s="4">
        <f>F108*K108</f>
        <v>0</v>
      </c>
      <c r="M108" s="72" t="s">
        <v>643</v>
      </c>
      <c r="P108" s="23">
        <f>IF(AG108="5",J108,0)</f>
        <v>0</v>
      </c>
      <c r="R108" s="23">
        <f>IF(AG108="1",H108,0)</f>
        <v>0</v>
      </c>
      <c r="S108" s="23">
        <f>IF(AG108="1",I108,0)</f>
        <v>0</v>
      </c>
      <c r="T108" s="23">
        <f>IF(AG108="7",H108,0)</f>
        <v>0</v>
      </c>
      <c r="U108" s="23">
        <f>IF(AG108="7",I108,0)</f>
        <v>0</v>
      </c>
      <c r="V108" s="23">
        <f>IF(AG108="2",H108,0)</f>
        <v>0</v>
      </c>
      <c r="W108" s="23">
        <f>IF(AG108="2",I108,0)</f>
        <v>0</v>
      </c>
      <c r="X108" s="23">
        <f>IF(AG108="0",J108,0)</f>
        <v>0</v>
      </c>
      <c r="Y108" s="67" t="s">
        <v>172</v>
      </c>
      <c r="Z108" s="4">
        <f>IF(AD108=0,J108,0)</f>
        <v>0</v>
      </c>
      <c r="AA108" s="4">
        <f>IF(AD108=15,J108,0)</f>
        <v>0</v>
      </c>
      <c r="AB108" s="4">
        <f>IF(AD108=21,J108,0)</f>
        <v>0</v>
      </c>
      <c r="AD108" s="23">
        <v>21</v>
      </c>
      <c r="AE108" s="23">
        <f>G108*0</f>
        <v>0</v>
      </c>
      <c r="AF108" s="23">
        <f>G108*(1-0)</f>
        <v>0</v>
      </c>
      <c r="AG108" s="72" t="s">
        <v>11</v>
      </c>
      <c r="AM108" s="23">
        <f>F108*AE108</f>
        <v>0</v>
      </c>
      <c r="AN108" s="23">
        <f>F108*AF108</f>
        <v>0</v>
      </c>
      <c r="AO108" s="75" t="s">
        <v>674</v>
      </c>
      <c r="AP108" s="75" t="s">
        <v>696</v>
      </c>
      <c r="AQ108" s="67" t="s">
        <v>709</v>
      </c>
      <c r="AS108" s="23">
        <f>AM108+AN108</f>
        <v>0</v>
      </c>
      <c r="AT108" s="23">
        <f>G108/(100-AU108)*100</f>
        <v>0</v>
      </c>
      <c r="AU108" s="23">
        <v>0</v>
      </c>
      <c r="AV108" s="23">
        <f>L108</f>
        <v>0</v>
      </c>
    </row>
    <row r="109" spans="1:37" ht="12.75">
      <c r="A109" s="52"/>
      <c r="B109" s="58" t="s">
        <v>172</v>
      </c>
      <c r="C109" s="58" t="s">
        <v>260</v>
      </c>
      <c r="D109" s="58" t="s">
        <v>446</v>
      </c>
      <c r="E109" s="52" t="s">
        <v>6</v>
      </c>
      <c r="F109" s="52" t="s">
        <v>6</v>
      </c>
      <c r="G109" s="64" t="s">
        <v>6</v>
      </c>
      <c r="H109" s="9">
        <f>SUM(H110:H110)</f>
        <v>0</v>
      </c>
      <c r="I109" s="9">
        <f>SUM(I110:I110)</f>
        <v>0</v>
      </c>
      <c r="J109" s="9">
        <f>H109+I109</f>
        <v>0</v>
      </c>
      <c r="K109" s="67"/>
      <c r="L109" s="9">
        <f>SUM(L110:L110)</f>
        <v>0.1407582</v>
      </c>
      <c r="M109" s="67"/>
      <c r="Y109" s="67" t="s">
        <v>172</v>
      </c>
      <c r="AI109" s="9">
        <f>SUM(Z110:Z110)</f>
        <v>0</v>
      </c>
      <c r="AJ109" s="9">
        <f>SUM(AA110:AA110)</f>
        <v>0</v>
      </c>
      <c r="AK109" s="9">
        <f>SUM(AB110:AB110)</f>
        <v>0</v>
      </c>
    </row>
    <row r="110" spans="1:48" ht="12.75">
      <c r="A110" s="1" t="s">
        <v>82</v>
      </c>
      <c r="B110" s="1" t="s">
        <v>172</v>
      </c>
      <c r="C110" s="1" t="s">
        <v>261</v>
      </c>
      <c r="D110" s="1" t="s">
        <v>447</v>
      </c>
      <c r="E110" s="1" t="s">
        <v>556</v>
      </c>
      <c r="F110" s="4">
        <f>'Rozpočet - vybrané sloupce'!BA109</f>
        <v>142.18</v>
      </c>
      <c r="G110" s="6">
        <f>'Rozpočet - vybrané sloupce'!BF109</f>
        <v>0</v>
      </c>
      <c r="H110" s="4">
        <f>F110*AE110</f>
        <v>0</v>
      </c>
      <c r="I110" s="4">
        <f>J110-H110</f>
        <v>0</v>
      </c>
      <c r="J110" s="4">
        <f>F110*G110</f>
        <v>0</v>
      </c>
      <c r="K110" s="4">
        <v>0.00099</v>
      </c>
      <c r="L110" s="4">
        <f>F110*K110</f>
        <v>0.1407582</v>
      </c>
      <c r="M110" s="72" t="s">
        <v>643</v>
      </c>
      <c r="P110" s="23">
        <f>IF(AG110="5",J110,0)</f>
        <v>0</v>
      </c>
      <c r="R110" s="23">
        <f>IF(AG110="1",H110,0)</f>
        <v>0</v>
      </c>
      <c r="S110" s="23">
        <f>IF(AG110="1",I110,0)</f>
        <v>0</v>
      </c>
      <c r="T110" s="23">
        <f>IF(AG110="7",H110,0)</f>
        <v>0</v>
      </c>
      <c r="U110" s="23">
        <f>IF(AG110="7",I110,0)</f>
        <v>0</v>
      </c>
      <c r="V110" s="23">
        <f>IF(AG110="2",H110,0)</f>
        <v>0</v>
      </c>
      <c r="W110" s="23">
        <f>IF(AG110="2",I110,0)</f>
        <v>0</v>
      </c>
      <c r="X110" s="23">
        <f>IF(AG110="0",J110,0)</f>
        <v>0</v>
      </c>
      <c r="Y110" s="67" t="s">
        <v>172</v>
      </c>
      <c r="Z110" s="4">
        <f>IF(AD110=0,J110,0)</f>
        <v>0</v>
      </c>
      <c r="AA110" s="4">
        <f>IF(AD110=15,J110,0)</f>
        <v>0</v>
      </c>
      <c r="AB110" s="4">
        <f>IF(AD110=21,J110,0)</f>
        <v>0</v>
      </c>
      <c r="AD110" s="23">
        <v>21</v>
      </c>
      <c r="AE110" s="23">
        <f>G110*0.196445969678506</f>
        <v>0</v>
      </c>
      <c r="AF110" s="23">
        <f>G110*(1-0.196445969678506)</f>
        <v>0</v>
      </c>
      <c r="AG110" s="72" t="s">
        <v>8</v>
      </c>
      <c r="AM110" s="23">
        <f>F110*AE110</f>
        <v>0</v>
      </c>
      <c r="AN110" s="23">
        <f>F110*AF110</f>
        <v>0</v>
      </c>
      <c r="AO110" s="75" t="s">
        <v>675</v>
      </c>
      <c r="AP110" s="75" t="s">
        <v>696</v>
      </c>
      <c r="AQ110" s="67" t="s">
        <v>709</v>
      </c>
      <c r="AS110" s="23">
        <f>AM110+AN110</f>
        <v>0</v>
      </c>
      <c r="AT110" s="23">
        <f>G110/(100-AU110)*100</f>
        <v>0</v>
      </c>
      <c r="AU110" s="23">
        <v>0</v>
      </c>
      <c r="AV110" s="23">
        <f>L110</f>
        <v>0.1407582</v>
      </c>
    </row>
    <row r="111" spans="1:37" ht="12.75">
      <c r="A111" s="52"/>
      <c r="B111" s="58" t="s">
        <v>172</v>
      </c>
      <c r="C111" s="58" t="s">
        <v>262</v>
      </c>
      <c r="D111" s="58" t="s">
        <v>448</v>
      </c>
      <c r="E111" s="52" t="s">
        <v>6</v>
      </c>
      <c r="F111" s="52" t="s">
        <v>6</v>
      </c>
      <c r="G111" s="64" t="s">
        <v>6</v>
      </c>
      <c r="H111" s="9">
        <f>SUM(H112:H112)</f>
        <v>0</v>
      </c>
      <c r="I111" s="9">
        <f>SUM(I112:I112)</f>
        <v>0</v>
      </c>
      <c r="J111" s="9">
        <f>H111+I111</f>
        <v>0</v>
      </c>
      <c r="K111" s="67"/>
      <c r="L111" s="9">
        <f>SUM(L112:L112)</f>
        <v>0</v>
      </c>
      <c r="M111" s="67"/>
      <c r="Y111" s="67" t="s">
        <v>172</v>
      </c>
      <c r="AI111" s="9">
        <f>SUM(Z112:Z112)</f>
        <v>0</v>
      </c>
      <c r="AJ111" s="9">
        <f>SUM(AA112:AA112)</f>
        <v>0</v>
      </c>
      <c r="AK111" s="9">
        <f>SUM(AB112:AB112)</f>
        <v>0</v>
      </c>
    </row>
    <row r="112" spans="1:48" ht="12.75">
      <c r="A112" s="1" t="s">
        <v>83</v>
      </c>
      <c r="B112" s="1" t="s">
        <v>172</v>
      </c>
      <c r="C112" s="1" t="s">
        <v>263</v>
      </c>
      <c r="D112" s="1" t="s">
        <v>449</v>
      </c>
      <c r="E112" s="1" t="s">
        <v>555</v>
      </c>
      <c r="F112" s="4">
        <f>'Rozpočet - vybrané sloupce'!BA111</f>
        <v>11.5</v>
      </c>
      <c r="G112" s="6">
        <f>'Rozpočet - vybrané sloupce'!BF111</f>
        <v>0</v>
      </c>
      <c r="H112" s="4">
        <f>F112*AE112</f>
        <v>0</v>
      </c>
      <c r="I112" s="4">
        <f>J112-H112</f>
        <v>0</v>
      </c>
      <c r="J112" s="4">
        <f>F112*G112</f>
        <v>0</v>
      </c>
      <c r="K112" s="4">
        <v>0</v>
      </c>
      <c r="L112" s="4">
        <f>F112*K112</f>
        <v>0</v>
      </c>
      <c r="M112" s="72" t="s">
        <v>643</v>
      </c>
      <c r="P112" s="23">
        <f>IF(AG112="5",J112,0)</f>
        <v>0</v>
      </c>
      <c r="R112" s="23">
        <f>IF(AG112="1",H112,0)</f>
        <v>0</v>
      </c>
      <c r="S112" s="23">
        <f>IF(AG112="1",I112,0)</f>
        <v>0</v>
      </c>
      <c r="T112" s="23">
        <f>IF(AG112="7",H112,0)</f>
        <v>0</v>
      </c>
      <c r="U112" s="23">
        <f>IF(AG112="7",I112,0)</f>
        <v>0</v>
      </c>
      <c r="V112" s="23">
        <f>IF(AG112="2",H112,0)</f>
        <v>0</v>
      </c>
      <c r="W112" s="23">
        <f>IF(AG112="2",I112,0)</f>
        <v>0</v>
      </c>
      <c r="X112" s="23">
        <f>IF(AG112="0",J112,0)</f>
        <v>0</v>
      </c>
      <c r="Y112" s="67" t="s">
        <v>172</v>
      </c>
      <c r="Z112" s="4">
        <f>IF(AD112=0,J112,0)</f>
        <v>0</v>
      </c>
      <c r="AA112" s="4">
        <f>IF(AD112=15,J112,0)</f>
        <v>0</v>
      </c>
      <c r="AB112" s="4">
        <f>IF(AD112=21,J112,0)</f>
        <v>0</v>
      </c>
      <c r="AD112" s="23">
        <v>21</v>
      </c>
      <c r="AE112" s="23">
        <f>G112*0</f>
        <v>0</v>
      </c>
      <c r="AF112" s="23">
        <f>G112*(1-0)</f>
        <v>0</v>
      </c>
      <c r="AG112" s="72" t="s">
        <v>8</v>
      </c>
      <c r="AM112" s="23">
        <f>F112*AE112</f>
        <v>0</v>
      </c>
      <c r="AN112" s="23">
        <f>F112*AF112</f>
        <v>0</v>
      </c>
      <c r="AO112" s="75" t="s">
        <v>676</v>
      </c>
      <c r="AP112" s="75" t="s">
        <v>696</v>
      </c>
      <c r="AQ112" s="67" t="s">
        <v>709</v>
      </c>
      <c r="AS112" s="23">
        <f>AM112+AN112</f>
        <v>0</v>
      </c>
      <c r="AT112" s="23">
        <f>G112/(100-AU112)*100</f>
        <v>0</v>
      </c>
      <c r="AU112" s="23">
        <v>0</v>
      </c>
      <c r="AV112" s="23">
        <f>L112</f>
        <v>0</v>
      </c>
    </row>
    <row r="113" spans="1:37" ht="12.75">
      <c r="A113" s="52"/>
      <c r="B113" s="58" t="s">
        <v>172</v>
      </c>
      <c r="C113" s="58"/>
      <c r="D113" s="58" t="s">
        <v>450</v>
      </c>
      <c r="E113" s="52" t="s">
        <v>6</v>
      </c>
      <c r="F113" s="52" t="s">
        <v>6</v>
      </c>
      <c r="G113" s="64" t="s">
        <v>6</v>
      </c>
      <c r="H113" s="9">
        <f>SUM(H114:H122)</f>
        <v>0</v>
      </c>
      <c r="I113" s="9">
        <f>SUM(I114:I122)</f>
        <v>0</v>
      </c>
      <c r="J113" s="9">
        <f>H113+I113</f>
        <v>0</v>
      </c>
      <c r="K113" s="67"/>
      <c r="L113" s="9">
        <f>SUM(L114:L122)</f>
        <v>58.4781166</v>
      </c>
      <c r="M113" s="67"/>
      <c r="Y113" s="67" t="s">
        <v>172</v>
      </c>
      <c r="AI113" s="9">
        <f>SUM(Z114:Z122)</f>
        <v>0</v>
      </c>
      <c r="AJ113" s="9">
        <f>SUM(AA114:AA122)</f>
        <v>0</v>
      </c>
      <c r="AK113" s="9">
        <f>SUM(AB114:AB122)</f>
        <v>0</v>
      </c>
    </row>
    <row r="114" spans="1:48" ht="12.75">
      <c r="A114" s="2" t="s">
        <v>84</v>
      </c>
      <c r="B114" s="2" t="s">
        <v>172</v>
      </c>
      <c r="C114" s="2" t="s">
        <v>264</v>
      </c>
      <c r="D114" s="2" t="s">
        <v>451</v>
      </c>
      <c r="E114" s="2" t="s">
        <v>554</v>
      </c>
      <c r="F114" s="5">
        <f>'Rozpočet - vybrané sloupce'!BA113</f>
        <v>757.08</v>
      </c>
      <c r="G114" s="7">
        <f>'Rozpočet - vybrané sloupce'!BF113</f>
        <v>0</v>
      </c>
      <c r="H114" s="5">
        <f aca="true" t="shared" si="62" ref="H114:H122">F114*AE114</f>
        <v>0</v>
      </c>
      <c r="I114" s="5">
        <f aca="true" t="shared" si="63" ref="I114:I122">J114-H114</f>
        <v>0</v>
      </c>
      <c r="J114" s="5">
        <f aca="true" t="shared" si="64" ref="J114:J122">F114*G114</f>
        <v>0</v>
      </c>
      <c r="K114" s="5">
        <v>0.0045</v>
      </c>
      <c r="L114" s="5">
        <f aca="true" t="shared" si="65" ref="L114:L122">F114*K114</f>
        <v>3.40686</v>
      </c>
      <c r="M114" s="73" t="s">
        <v>643</v>
      </c>
      <c r="P114" s="23">
        <f aca="true" t="shared" si="66" ref="P114:P122">IF(AG114="5",J114,0)</f>
        <v>0</v>
      </c>
      <c r="R114" s="23">
        <f aca="true" t="shared" si="67" ref="R114:R122">IF(AG114="1",H114,0)</f>
        <v>0</v>
      </c>
      <c r="S114" s="23">
        <f aca="true" t="shared" si="68" ref="S114:S122">IF(AG114="1",I114,0)</f>
        <v>0</v>
      </c>
      <c r="T114" s="23">
        <f aca="true" t="shared" si="69" ref="T114:T122">IF(AG114="7",H114,0)</f>
        <v>0</v>
      </c>
      <c r="U114" s="23">
        <f aca="true" t="shared" si="70" ref="U114:U122">IF(AG114="7",I114,0)</f>
        <v>0</v>
      </c>
      <c r="V114" s="23">
        <f aca="true" t="shared" si="71" ref="V114:V122">IF(AG114="2",H114,0)</f>
        <v>0</v>
      </c>
      <c r="W114" s="23">
        <f aca="true" t="shared" si="72" ref="W114:W122">IF(AG114="2",I114,0)</f>
        <v>0</v>
      </c>
      <c r="X114" s="23">
        <f aca="true" t="shared" si="73" ref="X114:X122">IF(AG114="0",J114,0)</f>
        <v>0</v>
      </c>
      <c r="Y114" s="67" t="s">
        <v>172</v>
      </c>
      <c r="Z114" s="5">
        <f aca="true" t="shared" si="74" ref="Z114:Z122">IF(AD114=0,J114,0)</f>
        <v>0</v>
      </c>
      <c r="AA114" s="5">
        <f aca="true" t="shared" si="75" ref="AA114:AA122">IF(AD114=15,J114,0)</f>
        <v>0</v>
      </c>
      <c r="AB114" s="5">
        <f aca="true" t="shared" si="76" ref="AB114:AB122">IF(AD114=21,J114,0)</f>
        <v>0</v>
      </c>
      <c r="AD114" s="23">
        <v>21</v>
      </c>
      <c r="AE114" s="23">
        <f aca="true" t="shared" si="77" ref="AE114:AE122">G114*1</f>
        <v>0</v>
      </c>
      <c r="AF114" s="23">
        <f aca="true" t="shared" si="78" ref="AF114:AF122">G114*(1-1)</f>
        <v>0</v>
      </c>
      <c r="AG114" s="73" t="s">
        <v>653</v>
      </c>
      <c r="AM114" s="23">
        <f aca="true" t="shared" si="79" ref="AM114:AM122">F114*AE114</f>
        <v>0</v>
      </c>
      <c r="AN114" s="23">
        <f aca="true" t="shared" si="80" ref="AN114:AN122">F114*AF114</f>
        <v>0</v>
      </c>
      <c r="AO114" s="75" t="s">
        <v>677</v>
      </c>
      <c r="AP114" s="75" t="s">
        <v>697</v>
      </c>
      <c r="AQ114" s="67" t="s">
        <v>709</v>
      </c>
      <c r="AS114" s="23">
        <f aca="true" t="shared" si="81" ref="AS114:AS122">AM114+AN114</f>
        <v>0</v>
      </c>
      <c r="AT114" s="23">
        <f aca="true" t="shared" si="82" ref="AT114:AT122">G114/(100-AU114)*100</f>
        <v>0</v>
      </c>
      <c r="AU114" s="23">
        <v>0</v>
      </c>
      <c r="AV114" s="23">
        <f aca="true" t="shared" si="83" ref="AV114:AV122">L114</f>
        <v>3.40686</v>
      </c>
    </row>
    <row r="115" spans="1:48" ht="12.75">
      <c r="A115" s="2" t="s">
        <v>85</v>
      </c>
      <c r="B115" s="2" t="s">
        <v>172</v>
      </c>
      <c r="C115" s="2" t="s">
        <v>265</v>
      </c>
      <c r="D115" s="2" t="s">
        <v>452</v>
      </c>
      <c r="E115" s="2" t="s">
        <v>552</v>
      </c>
      <c r="F115" s="5">
        <f>'Rozpočet - vybrané sloupce'!BA114</f>
        <v>8.44</v>
      </c>
      <c r="G115" s="7">
        <f>'Rozpočet - vybrané sloupce'!BF114</f>
        <v>0</v>
      </c>
      <c r="H115" s="5">
        <f t="shared" si="62"/>
        <v>0</v>
      </c>
      <c r="I115" s="5">
        <f t="shared" si="63"/>
        <v>0</v>
      </c>
      <c r="J115" s="5">
        <f t="shared" si="64"/>
        <v>0</v>
      </c>
      <c r="K115" s="5">
        <v>0.02</v>
      </c>
      <c r="L115" s="5">
        <f t="shared" si="65"/>
        <v>0.1688</v>
      </c>
      <c r="M115" s="73" t="s">
        <v>643</v>
      </c>
      <c r="P115" s="23">
        <f t="shared" si="66"/>
        <v>0</v>
      </c>
      <c r="R115" s="23">
        <f t="shared" si="67"/>
        <v>0</v>
      </c>
      <c r="S115" s="23">
        <f t="shared" si="68"/>
        <v>0</v>
      </c>
      <c r="T115" s="23">
        <f t="shared" si="69"/>
        <v>0</v>
      </c>
      <c r="U115" s="23">
        <f t="shared" si="70"/>
        <v>0</v>
      </c>
      <c r="V115" s="23">
        <f t="shared" si="71"/>
        <v>0</v>
      </c>
      <c r="W115" s="23">
        <f t="shared" si="72"/>
        <v>0</v>
      </c>
      <c r="X115" s="23">
        <f t="shared" si="73"/>
        <v>0</v>
      </c>
      <c r="Y115" s="67" t="s">
        <v>172</v>
      </c>
      <c r="Z115" s="5">
        <f t="shared" si="74"/>
        <v>0</v>
      </c>
      <c r="AA115" s="5">
        <f t="shared" si="75"/>
        <v>0</v>
      </c>
      <c r="AB115" s="5">
        <f t="shared" si="76"/>
        <v>0</v>
      </c>
      <c r="AD115" s="23">
        <v>21</v>
      </c>
      <c r="AE115" s="23">
        <f t="shared" si="77"/>
        <v>0</v>
      </c>
      <c r="AF115" s="23">
        <f t="shared" si="78"/>
        <v>0</v>
      </c>
      <c r="AG115" s="73" t="s">
        <v>653</v>
      </c>
      <c r="AM115" s="23">
        <f t="shared" si="79"/>
        <v>0</v>
      </c>
      <c r="AN115" s="23">
        <f t="shared" si="80"/>
        <v>0</v>
      </c>
      <c r="AO115" s="75" t="s">
        <v>677</v>
      </c>
      <c r="AP115" s="75" t="s">
        <v>697</v>
      </c>
      <c r="AQ115" s="67" t="s">
        <v>709</v>
      </c>
      <c r="AS115" s="23">
        <f t="shared" si="81"/>
        <v>0</v>
      </c>
      <c r="AT115" s="23">
        <f t="shared" si="82"/>
        <v>0</v>
      </c>
      <c r="AU115" s="23">
        <v>0</v>
      </c>
      <c r="AV115" s="23">
        <f t="shared" si="83"/>
        <v>0.1688</v>
      </c>
    </row>
    <row r="116" spans="1:48" ht="12.75">
      <c r="A116" s="2" t="s">
        <v>86</v>
      </c>
      <c r="B116" s="2" t="s">
        <v>172</v>
      </c>
      <c r="C116" s="2" t="s">
        <v>266</v>
      </c>
      <c r="D116" s="2" t="s">
        <v>453</v>
      </c>
      <c r="E116" s="2" t="s">
        <v>556</v>
      </c>
      <c r="F116" s="5">
        <f>'Rozpočet - vybrané sloupce'!BA115</f>
        <v>12.5</v>
      </c>
      <c r="G116" s="7">
        <f>'Rozpočet - vybrané sloupce'!BF115</f>
        <v>0</v>
      </c>
      <c r="H116" s="5">
        <f t="shared" si="62"/>
        <v>0</v>
      </c>
      <c r="I116" s="5">
        <f t="shared" si="63"/>
        <v>0</v>
      </c>
      <c r="J116" s="5">
        <f t="shared" si="64"/>
        <v>0</v>
      </c>
      <c r="K116" s="5">
        <v>0.00157</v>
      </c>
      <c r="L116" s="5">
        <f t="shared" si="65"/>
        <v>0.019625</v>
      </c>
      <c r="M116" s="73" t="s">
        <v>643</v>
      </c>
      <c r="P116" s="23">
        <f t="shared" si="66"/>
        <v>0</v>
      </c>
      <c r="R116" s="23">
        <f t="shared" si="67"/>
        <v>0</v>
      </c>
      <c r="S116" s="23">
        <f t="shared" si="68"/>
        <v>0</v>
      </c>
      <c r="T116" s="23">
        <f t="shared" si="69"/>
        <v>0</v>
      </c>
      <c r="U116" s="23">
        <f t="shared" si="70"/>
        <v>0</v>
      </c>
      <c r="V116" s="23">
        <f t="shared" si="71"/>
        <v>0</v>
      </c>
      <c r="W116" s="23">
        <f t="shared" si="72"/>
        <v>0</v>
      </c>
      <c r="X116" s="23">
        <f t="shared" si="73"/>
        <v>0</v>
      </c>
      <c r="Y116" s="67" t="s">
        <v>172</v>
      </c>
      <c r="Z116" s="5">
        <f t="shared" si="74"/>
        <v>0</v>
      </c>
      <c r="AA116" s="5">
        <f t="shared" si="75"/>
        <v>0</v>
      </c>
      <c r="AB116" s="5">
        <f t="shared" si="76"/>
        <v>0</v>
      </c>
      <c r="AD116" s="23">
        <v>21</v>
      </c>
      <c r="AE116" s="23">
        <f t="shared" si="77"/>
        <v>0</v>
      </c>
      <c r="AF116" s="23">
        <f t="shared" si="78"/>
        <v>0</v>
      </c>
      <c r="AG116" s="73" t="s">
        <v>653</v>
      </c>
      <c r="AM116" s="23">
        <f t="shared" si="79"/>
        <v>0</v>
      </c>
      <c r="AN116" s="23">
        <f t="shared" si="80"/>
        <v>0</v>
      </c>
      <c r="AO116" s="75" t="s">
        <v>677</v>
      </c>
      <c r="AP116" s="75" t="s">
        <v>697</v>
      </c>
      <c r="AQ116" s="67" t="s">
        <v>709</v>
      </c>
      <c r="AS116" s="23">
        <f t="shared" si="81"/>
        <v>0</v>
      </c>
      <c r="AT116" s="23">
        <f t="shared" si="82"/>
        <v>0</v>
      </c>
      <c r="AU116" s="23">
        <v>0</v>
      </c>
      <c r="AV116" s="23">
        <f t="shared" si="83"/>
        <v>0.019625</v>
      </c>
    </row>
    <row r="117" spans="1:48" ht="12.75">
      <c r="A117" s="2" t="s">
        <v>87</v>
      </c>
      <c r="B117" s="2" t="s">
        <v>172</v>
      </c>
      <c r="C117" s="2" t="s">
        <v>267</v>
      </c>
      <c r="D117" s="2" t="s">
        <v>454</v>
      </c>
      <c r="E117" s="2" t="s">
        <v>554</v>
      </c>
      <c r="F117" s="5">
        <f>'Rozpočet - vybrané sloupce'!BA116</f>
        <v>90.46</v>
      </c>
      <c r="G117" s="7">
        <f>'Rozpočet - vybrané sloupce'!BF116</f>
        <v>0</v>
      </c>
      <c r="H117" s="5">
        <f t="shared" si="62"/>
        <v>0</v>
      </c>
      <c r="I117" s="5">
        <f t="shared" si="63"/>
        <v>0</v>
      </c>
      <c r="J117" s="5">
        <f t="shared" si="64"/>
        <v>0</v>
      </c>
      <c r="K117" s="5">
        <v>0.01308</v>
      </c>
      <c r="L117" s="5">
        <f t="shared" si="65"/>
        <v>1.1832167999999998</v>
      </c>
      <c r="M117" s="73" t="s">
        <v>643</v>
      </c>
      <c r="P117" s="23">
        <f t="shared" si="66"/>
        <v>0</v>
      </c>
      <c r="R117" s="23">
        <f t="shared" si="67"/>
        <v>0</v>
      </c>
      <c r="S117" s="23">
        <f t="shared" si="68"/>
        <v>0</v>
      </c>
      <c r="T117" s="23">
        <f t="shared" si="69"/>
        <v>0</v>
      </c>
      <c r="U117" s="23">
        <f t="shared" si="70"/>
        <v>0</v>
      </c>
      <c r="V117" s="23">
        <f t="shared" si="71"/>
        <v>0</v>
      </c>
      <c r="W117" s="23">
        <f t="shared" si="72"/>
        <v>0</v>
      </c>
      <c r="X117" s="23">
        <f t="shared" si="73"/>
        <v>0</v>
      </c>
      <c r="Y117" s="67" t="s">
        <v>172</v>
      </c>
      <c r="Z117" s="5">
        <f t="shared" si="74"/>
        <v>0</v>
      </c>
      <c r="AA117" s="5">
        <f t="shared" si="75"/>
        <v>0</v>
      </c>
      <c r="AB117" s="5">
        <f t="shared" si="76"/>
        <v>0</v>
      </c>
      <c r="AD117" s="23">
        <v>21</v>
      </c>
      <c r="AE117" s="23">
        <f t="shared" si="77"/>
        <v>0</v>
      </c>
      <c r="AF117" s="23">
        <f t="shared" si="78"/>
        <v>0</v>
      </c>
      <c r="AG117" s="73" t="s">
        <v>653</v>
      </c>
      <c r="AM117" s="23">
        <f t="shared" si="79"/>
        <v>0</v>
      </c>
      <c r="AN117" s="23">
        <f t="shared" si="80"/>
        <v>0</v>
      </c>
      <c r="AO117" s="75" t="s">
        <v>677</v>
      </c>
      <c r="AP117" s="75" t="s">
        <v>697</v>
      </c>
      <c r="AQ117" s="67" t="s">
        <v>709</v>
      </c>
      <c r="AS117" s="23">
        <f t="shared" si="81"/>
        <v>0</v>
      </c>
      <c r="AT117" s="23">
        <f t="shared" si="82"/>
        <v>0</v>
      </c>
      <c r="AU117" s="23">
        <v>0</v>
      </c>
      <c r="AV117" s="23">
        <f t="shared" si="83"/>
        <v>1.1832167999999998</v>
      </c>
    </row>
    <row r="118" spans="1:48" ht="12.75">
      <c r="A118" s="2" t="s">
        <v>88</v>
      </c>
      <c r="B118" s="2" t="s">
        <v>172</v>
      </c>
      <c r="C118" s="2" t="s">
        <v>268</v>
      </c>
      <c r="D118" s="2" t="s">
        <v>455</v>
      </c>
      <c r="E118" s="2" t="s">
        <v>554</v>
      </c>
      <c r="F118" s="5">
        <f>'Rozpočet - vybrané sloupce'!BA117</f>
        <v>98.93</v>
      </c>
      <c r="G118" s="7">
        <f>'Rozpočet - vybrané sloupce'!BF117</f>
        <v>0</v>
      </c>
      <c r="H118" s="5">
        <f t="shared" si="62"/>
        <v>0</v>
      </c>
      <c r="I118" s="5">
        <f t="shared" si="63"/>
        <v>0</v>
      </c>
      <c r="J118" s="5">
        <f t="shared" si="64"/>
        <v>0</v>
      </c>
      <c r="K118" s="5">
        <v>0.01156</v>
      </c>
      <c r="L118" s="5">
        <f t="shared" si="65"/>
        <v>1.1436308000000002</v>
      </c>
      <c r="M118" s="73" t="s">
        <v>643</v>
      </c>
      <c r="P118" s="23">
        <f t="shared" si="66"/>
        <v>0</v>
      </c>
      <c r="R118" s="23">
        <f t="shared" si="67"/>
        <v>0</v>
      </c>
      <c r="S118" s="23">
        <f t="shared" si="68"/>
        <v>0</v>
      </c>
      <c r="T118" s="23">
        <f t="shared" si="69"/>
        <v>0</v>
      </c>
      <c r="U118" s="23">
        <f t="shared" si="70"/>
        <v>0</v>
      </c>
      <c r="V118" s="23">
        <f t="shared" si="71"/>
        <v>0</v>
      </c>
      <c r="W118" s="23">
        <f t="shared" si="72"/>
        <v>0</v>
      </c>
      <c r="X118" s="23">
        <f t="shared" si="73"/>
        <v>0</v>
      </c>
      <c r="Y118" s="67" t="s">
        <v>172</v>
      </c>
      <c r="Z118" s="5">
        <f t="shared" si="74"/>
        <v>0</v>
      </c>
      <c r="AA118" s="5">
        <f t="shared" si="75"/>
        <v>0</v>
      </c>
      <c r="AB118" s="5">
        <f t="shared" si="76"/>
        <v>0</v>
      </c>
      <c r="AD118" s="23">
        <v>21</v>
      </c>
      <c r="AE118" s="23">
        <f t="shared" si="77"/>
        <v>0</v>
      </c>
      <c r="AF118" s="23">
        <f t="shared" si="78"/>
        <v>0</v>
      </c>
      <c r="AG118" s="73" t="s">
        <v>653</v>
      </c>
      <c r="AM118" s="23">
        <f t="shared" si="79"/>
        <v>0</v>
      </c>
      <c r="AN118" s="23">
        <f t="shared" si="80"/>
        <v>0</v>
      </c>
      <c r="AO118" s="75" t="s">
        <v>677</v>
      </c>
      <c r="AP118" s="75" t="s">
        <v>697</v>
      </c>
      <c r="AQ118" s="67" t="s">
        <v>709</v>
      </c>
      <c r="AS118" s="23">
        <f t="shared" si="81"/>
        <v>0</v>
      </c>
      <c r="AT118" s="23">
        <f t="shared" si="82"/>
        <v>0</v>
      </c>
      <c r="AU118" s="23">
        <v>0</v>
      </c>
      <c r="AV118" s="23">
        <f t="shared" si="83"/>
        <v>1.1436308000000002</v>
      </c>
    </row>
    <row r="119" spans="1:48" ht="12.75">
      <c r="A119" s="2" t="s">
        <v>89</v>
      </c>
      <c r="B119" s="2" t="s">
        <v>172</v>
      </c>
      <c r="C119" s="2" t="s">
        <v>269</v>
      </c>
      <c r="D119" s="2" t="s">
        <v>456</v>
      </c>
      <c r="E119" s="2" t="s">
        <v>554</v>
      </c>
      <c r="F119" s="5">
        <f>'Rozpočet - vybrané sloupce'!BA118</f>
        <v>694.26</v>
      </c>
      <c r="G119" s="7">
        <f>'Rozpočet - vybrané sloupce'!BF118</f>
        <v>0</v>
      </c>
      <c r="H119" s="5">
        <f t="shared" si="62"/>
        <v>0</v>
      </c>
      <c r="I119" s="5">
        <f t="shared" si="63"/>
        <v>0</v>
      </c>
      <c r="J119" s="5">
        <f t="shared" si="64"/>
        <v>0</v>
      </c>
      <c r="K119" s="5">
        <v>0</v>
      </c>
      <c r="L119" s="5">
        <f t="shared" si="65"/>
        <v>0</v>
      </c>
      <c r="M119" s="73" t="s">
        <v>643</v>
      </c>
      <c r="P119" s="23">
        <f t="shared" si="66"/>
        <v>0</v>
      </c>
      <c r="R119" s="23">
        <f t="shared" si="67"/>
        <v>0</v>
      </c>
      <c r="S119" s="23">
        <f t="shared" si="68"/>
        <v>0</v>
      </c>
      <c r="T119" s="23">
        <f t="shared" si="69"/>
        <v>0</v>
      </c>
      <c r="U119" s="23">
        <f t="shared" si="70"/>
        <v>0</v>
      </c>
      <c r="V119" s="23">
        <f t="shared" si="71"/>
        <v>0</v>
      </c>
      <c r="W119" s="23">
        <f t="shared" si="72"/>
        <v>0</v>
      </c>
      <c r="X119" s="23">
        <f t="shared" si="73"/>
        <v>0</v>
      </c>
      <c r="Y119" s="67" t="s">
        <v>172</v>
      </c>
      <c r="Z119" s="5">
        <f t="shared" si="74"/>
        <v>0</v>
      </c>
      <c r="AA119" s="5">
        <f t="shared" si="75"/>
        <v>0</v>
      </c>
      <c r="AB119" s="5">
        <f t="shared" si="76"/>
        <v>0</v>
      </c>
      <c r="AD119" s="23">
        <v>21</v>
      </c>
      <c r="AE119" s="23">
        <f t="shared" si="77"/>
        <v>0</v>
      </c>
      <c r="AF119" s="23">
        <f t="shared" si="78"/>
        <v>0</v>
      </c>
      <c r="AG119" s="73" t="s">
        <v>653</v>
      </c>
      <c r="AM119" s="23">
        <f t="shared" si="79"/>
        <v>0</v>
      </c>
      <c r="AN119" s="23">
        <f t="shared" si="80"/>
        <v>0</v>
      </c>
      <c r="AO119" s="75" t="s">
        <v>677</v>
      </c>
      <c r="AP119" s="75" t="s">
        <v>697</v>
      </c>
      <c r="AQ119" s="67" t="s">
        <v>709</v>
      </c>
      <c r="AS119" s="23">
        <f t="shared" si="81"/>
        <v>0</v>
      </c>
      <c r="AT119" s="23">
        <f t="shared" si="82"/>
        <v>0</v>
      </c>
      <c r="AU119" s="23">
        <v>0</v>
      </c>
      <c r="AV119" s="23">
        <f t="shared" si="83"/>
        <v>0</v>
      </c>
    </row>
    <row r="120" spans="1:48" ht="12.75">
      <c r="A120" s="2" t="s">
        <v>90</v>
      </c>
      <c r="B120" s="2" t="s">
        <v>172</v>
      </c>
      <c r="C120" s="2" t="s">
        <v>270</v>
      </c>
      <c r="D120" s="2" t="s">
        <v>457</v>
      </c>
      <c r="E120" s="2" t="s">
        <v>554</v>
      </c>
      <c r="F120" s="5">
        <f>'Rozpočet - vybrané sloupce'!BA119</f>
        <v>578.1</v>
      </c>
      <c r="G120" s="7">
        <f>'Rozpočet - vybrané sloupce'!BF119</f>
        <v>0</v>
      </c>
      <c r="H120" s="5">
        <f t="shared" si="62"/>
        <v>0</v>
      </c>
      <c r="I120" s="5">
        <f t="shared" si="63"/>
        <v>0</v>
      </c>
      <c r="J120" s="5">
        <f t="shared" si="64"/>
        <v>0</v>
      </c>
      <c r="K120" s="5">
        <v>0</v>
      </c>
      <c r="L120" s="5">
        <f t="shared" si="65"/>
        <v>0</v>
      </c>
      <c r="M120" s="73" t="s">
        <v>643</v>
      </c>
      <c r="P120" s="23">
        <f t="shared" si="66"/>
        <v>0</v>
      </c>
      <c r="R120" s="23">
        <f t="shared" si="67"/>
        <v>0</v>
      </c>
      <c r="S120" s="23">
        <f t="shared" si="68"/>
        <v>0</v>
      </c>
      <c r="T120" s="23">
        <f t="shared" si="69"/>
        <v>0</v>
      </c>
      <c r="U120" s="23">
        <f t="shared" si="70"/>
        <v>0</v>
      </c>
      <c r="V120" s="23">
        <f t="shared" si="71"/>
        <v>0</v>
      </c>
      <c r="W120" s="23">
        <f t="shared" si="72"/>
        <v>0</v>
      </c>
      <c r="X120" s="23">
        <f t="shared" si="73"/>
        <v>0</v>
      </c>
      <c r="Y120" s="67" t="s">
        <v>172</v>
      </c>
      <c r="Z120" s="5">
        <f t="shared" si="74"/>
        <v>0</v>
      </c>
      <c r="AA120" s="5">
        <f t="shared" si="75"/>
        <v>0</v>
      </c>
      <c r="AB120" s="5">
        <f t="shared" si="76"/>
        <v>0</v>
      </c>
      <c r="AD120" s="23">
        <v>21</v>
      </c>
      <c r="AE120" s="23">
        <f t="shared" si="77"/>
        <v>0</v>
      </c>
      <c r="AF120" s="23">
        <f t="shared" si="78"/>
        <v>0</v>
      </c>
      <c r="AG120" s="73" t="s">
        <v>653</v>
      </c>
      <c r="AM120" s="23">
        <f t="shared" si="79"/>
        <v>0</v>
      </c>
      <c r="AN120" s="23">
        <f t="shared" si="80"/>
        <v>0</v>
      </c>
      <c r="AO120" s="75" t="s">
        <v>677</v>
      </c>
      <c r="AP120" s="75" t="s">
        <v>697</v>
      </c>
      <c r="AQ120" s="67" t="s">
        <v>709</v>
      </c>
      <c r="AS120" s="23">
        <f t="shared" si="81"/>
        <v>0</v>
      </c>
      <c r="AT120" s="23">
        <f t="shared" si="82"/>
        <v>0</v>
      </c>
      <c r="AU120" s="23">
        <v>0</v>
      </c>
      <c r="AV120" s="23">
        <f t="shared" si="83"/>
        <v>0</v>
      </c>
    </row>
    <row r="121" spans="1:48" ht="12.75">
      <c r="A121" s="2" t="s">
        <v>91</v>
      </c>
      <c r="B121" s="2" t="s">
        <v>172</v>
      </c>
      <c r="C121" s="2" t="s">
        <v>271</v>
      </c>
      <c r="D121" s="2" t="s">
        <v>458</v>
      </c>
      <c r="E121" s="2" t="s">
        <v>554</v>
      </c>
      <c r="F121" s="5">
        <f>'Rozpočet - vybrané sloupce'!BA120</f>
        <v>43.02</v>
      </c>
      <c r="G121" s="7">
        <f>'Rozpočet - vybrané sloupce'!BF120</f>
        <v>0</v>
      </c>
      <c r="H121" s="5">
        <f t="shared" si="62"/>
        <v>0</v>
      </c>
      <c r="I121" s="5">
        <f t="shared" si="63"/>
        <v>0</v>
      </c>
      <c r="J121" s="5">
        <f t="shared" si="64"/>
        <v>0</v>
      </c>
      <c r="K121" s="5">
        <v>0.0192</v>
      </c>
      <c r="L121" s="5">
        <f t="shared" si="65"/>
        <v>0.8259839999999999</v>
      </c>
      <c r="M121" s="73" t="s">
        <v>643</v>
      </c>
      <c r="P121" s="23">
        <f t="shared" si="66"/>
        <v>0</v>
      </c>
      <c r="R121" s="23">
        <f t="shared" si="67"/>
        <v>0</v>
      </c>
      <c r="S121" s="23">
        <f t="shared" si="68"/>
        <v>0</v>
      </c>
      <c r="T121" s="23">
        <f t="shared" si="69"/>
        <v>0</v>
      </c>
      <c r="U121" s="23">
        <f t="shared" si="70"/>
        <v>0</v>
      </c>
      <c r="V121" s="23">
        <f t="shared" si="71"/>
        <v>0</v>
      </c>
      <c r="W121" s="23">
        <f t="shared" si="72"/>
        <v>0</v>
      </c>
      <c r="X121" s="23">
        <f t="shared" si="73"/>
        <v>0</v>
      </c>
      <c r="Y121" s="67" t="s">
        <v>172</v>
      </c>
      <c r="Z121" s="5">
        <f t="shared" si="74"/>
        <v>0</v>
      </c>
      <c r="AA121" s="5">
        <f t="shared" si="75"/>
        <v>0</v>
      </c>
      <c r="AB121" s="5">
        <f t="shared" si="76"/>
        <v>0</v>
      </c>
      <c r="AD121" s="23">
        <v>21</v>
      </c>
      <c r="AE121" s="23">
        <f t="shared" si="77"/>
        <v>0</v>
      </c>
      <c r="AF121" s="23">
        <f t="shared" si="78"/>
        <v>0</v>
      </c>
      <c r="AG121" s="73" t="s">
        <v>653</v>
      </c>
      <c r="AM121" s="23">
        <f t="shared" si="79"/>
        <v>0</v>
      </c>
      <c r="AN121" s="23">
        <f t="shared" si="80"/>
        <v>0</v>
      </c>
      <c r="AO121" s="75" t="s">
        <v>677</v>
      </c>
      <c r="AP121" s="75" t="s">
        <v>697</v>
      </c>
      <c r="AQ121" s="67" t="s">
        <v>709</v>
      </c>
      <c r="AS121" s="23">
        <f t="shared" si="81"/>
        <v>0</v>
      </c>
      <c r="AT121" s="23">
        <f t="shared" si="82"/>
        <v>0</v>
      </c>
      <c r="AU121" s="23">
        <v>0</v>
      </c>
      <c r="AV121" s="23">
        <f t="shared" si="83"/>
        <v>0.8259839999999999</v>
      </c>
    </row>
    <row r="122" spans="1:48" ht="12.75">
      <c r="A122" s="2" t="s">
        <v>92</v>
      </c>
      <c r="B122" s="2" t="s">
        <v>172</v>
      </c>
      <c r="C122" s="2" t="s">
        <v>272</v>
      </c>
      <c r="D122" s="2" t="s">
        <v>459</v>
      </c>
      <c r="E122" s="2" t="s">
        <v>553</v>
      </c>
      <c r="F122" s="5">
        <f>'Rozpočet - vybrané sloupce'!BA121</f>
        <v>51.73</v>
      </c>
      <c r="G122" s="7">
        <f>'Rozpočet - vybrané sloupce'!BF121</f>
        <v>0</v>
      </c>
      <c r="H122" s="5">
        <f t="shared" si="62"/>
        <v>0</v>
      </c>
      <c r="I122" s="5">
        <f t="shared" si="63"/>
        <v>0</v>
      </c>
      <c r="J122" s="5">
        <f t="shared" si="64"/>
        <v>0</v>
      </c>
      <c r="K122" s="5">
        <v>1</v>
      </c>
      <c r="L122" s="5">
        <f t="shared" si="65"/>
        <v>51.73</v>
      </c>
      <c r="M122" s="73" t="s">
        <v>643</v>
      </c>
      <c r="P122" s="23">
        <f t="shared" si="66"/>
        <v>0</v>
      </c>
      <c r="R122" s="23">
        <f t="shared" si="67"/>
        <v>0</v>
      </c>
      <c r="S122" s="23">
        <f t="shared" si="68"/>
        <v>0</v>
      </c>
      <c r="T122" s="23">
        <f t="shared" si="69"/>
        <v>0</v>
      </c>
      <c r="U122" s="23">
        <f t="shared" si="70"/>
        <v>0</v>
      </c>
      <c r="V122" s="23">
        <f t="shared" si="71"/>
        <v>0</v>
      </c>
      <c r="W122" s="23">
        <f t="shared" si="72"/>
        <v>0</v>
      </c>
      <c r="X122" s="23">
        <f t="shared" si="73"/>
        <v>0</v>
      </c>
      <c r="Y122" s="67" t="s">
        <v>172</v>
      </c>
      <c r="Z122" s="5">
        <f t="shared" si="74"/>
        <v>0</v>
      </c>
      <c r="AA122" s="5">
        <f t="shared" si="75"/>
        <v>0</v>
      </c>
      <c r="AB122" s="5">
        <f t="shared" si="76"/>
        <v>0</v>
      </c>
      <c r="AD122" s="23">
        <v>21</v>
      </c>
      <c r="AE122" s="23">
        <f t="shared" si="77"/>
        <v>0</v>
      </c>
      <c r="AF122" s="23">
        <f t="shared" si="78"/>
        <v>0</v>
      </c>
      <c r="AG122" s="73" t="s">
        <v>653</v>
      </c>
      <c r="AM122" s="23">
        <f t="shared" si="79"/>
        <v>0</v>
      </c>
      <c r="AN122" s="23">
        <f t="shared" si="80"/>
        <v>0</v>
      </c>
      <c r="AO122" s="75" t="s">
        <v>677</v>
      </c>
      <c r="AP122" s="75" t="s">
        <v>697</v>
      </c>
      <c r="AQ122" s="67" t="s">
        <v>709</v>
      </c>
      <c r="AS122" s="23">
        <f t="shared" si="81"/>
        <v>0</v>
      </c>
      <c r="AT122" s="23">
        <f t="shared" si="82"/>
        <v>0</v>
      </c>
      <c r="AU122" s="23">
        <v>0</v>
      </c>
      <c r="AV122" s="23">
        <f t="shared" si="83"/>
        <v>51.73</v>
      </c>
    </row>
    <row r="123" spans="1:13" ht="12.75">
      <c r="A123" s="53"/>
      <c r="B123" s="59" t="s">
        <v>173</v>
      </c>
      <c r="C123" s="59"/>
      <c r="D123" s="59" t="s">
        <v>460</v>
      </c>
      <c r="E123" s="53" t="s">
        <v>6</v>
      </c>
      <c r="F123" s="53" t="s">
        <v>6</v>
      </c>
      <c r="G123" s="65" t="s">
        <v>6</v>
      </c>
      <c r="H123" s="78">
        <f>H124+H132+H146+H156</f>
        <v>0</v>
      </c>
      <c r="I123" s="78">
        <f>I124+I132+I146+I156</f>
        <v>0</v>
      </c>
      <c r="J123" s="78">
        <f>H123+I123</f>
        <v>0</v>
      </c>
      <c r="K123" s="68"/>
      <c r="L123" s="78">
        <f>L124+L132+L146+L156</f>
        <v>0.278539</v>
      </c>
      <c r="M123" s="68"/>
    </row>
    <row r="124" spans="1:37" ht="12.75">
      <c r="A124" s="52"/>
      <c r="B124" s="58" t="s">
        <v>173</v>
      </c>
      <c r="C124" s="58" t="s">
        <v>273</v>
      </c>
      <c r="D124" s="58" t="s">
        <v>461</v>
      </c>
      <c r="E124" s="52" t="s">
        <v>6</v>
      </c>
      <c r="F124" s="52" t="s">
        <v>6</v>
      </c>
      <c r="G124" s="64" t="s">
        <v>6</v>
      </c>
      <c r="H124" s="9">
        <f>SUM(H125:H131)</f>
        <v>0</v>
      </c>
      <c r="I124" s="9">
        <f>SUM(I125:I131)</f>
        <v>0</v>
      </c>
      <c r="J124" s="9">
        <f>H124+I124</f>
        <v>0</v>
      </c>
      <c r="K124" s="67"/>
      <c r="L124" s="9">
        <f>SUM(L125:L131)</f>
        <v>0.068745</v>
      </c>
      <c r="M124" s="67"/>
      <c r="Y124" s="67" t="s">
        <v>173</v>
      </c>
      <c r="AI124" s="9">
        <f>SUM(Z125:Z131)</f>
        <v>0</v>
      </c>
      <c r="AJ124" s="9">
        <f>SUM(AA125:AA131)</f>
        <v>0</v>
      </c>
      <c r="AK124" s="9">
        <f>SUM(AB125:AB131)</f>
        <v>0</v>
      </c>
    </row>
    <row r="125" spans="1:48" ht="12.75">
      <c r="A125" s="1" t="s">
        <v>93</v>
      </c>
      <c r="B125" s="1" t="s">
        <v>173</v>
      </c>
      <c r="C125" s="1" t="s">
        <v>274</v>
      </c>
      <c r="D125" s="1" t="s">
        <v>462</v>
      </c>
      <c r="E125" s="1" t="s">
        <v>556</v>
      </c>
      <c r="F125" s="4">
        <f>'Rozpočet - vybrané sloupce'!BA124</f>
        <v>5.5</v>
      </c>
      <c r="G125" s="6">
        <f>'Rozpočet - vybrané sloupce'!BF124</f>
        <v>0</v>
      </c>
      <c r="H125" s="4">
        <f aca="true" t="shared" si="84" ref="H125:H131">F125*AE125</f>
        <v>0</v>
      </c>
      <c r="I125" s="4">
        <f aca="true" t="shared" si="85" ref="I125:I131">J125-H125</f>
        <v>0</v>
      </c>
      <c r="J125" s="4">
        <f aca="true" t="shared" si="86" ref="J125:J131">F125*G125</f>
        <v>0</v>
      </c>
      <c r="K125" s="4">
        <v>0.00131</v>
      </c>
      <c r="L125" s="4">
        <f aca="true" t="shared" si="87" ref="L125:L131">F125*K125</f>
        <v>0.007205</v>
      </c>
      <c r="M125" s="72" t="s">
        <v>643</v>
      </c>
      <c r="P125" s="23">
        <f aca="true" t="shared" si="88" ref="P125:P131">IF(AG125="5",J125,0)</f>
        <v>0</v>
      </c>
      <c r="R125" s="23">
        <f aca="true" t="shared" si="89" ref="R125:R131">IF(AG125="1",H125,0)</f>
        <v>0</v>
      </c>
      <c r="S125" s="23">
        <f aca="true" t="shared" si="90" ref="S125:S131">IF(AG125="1",I125,0)</f>
        <v>0</v>
      </c>
      <c r="T125" s="23">
        <f aca="true" t="shared" si="91" ref="T125:T131">IF(AG125="7",H125,0)</f>
        <v>0</v>
      </c>
      <c r="U125" s="23">
        <f aca="true" t="shared" si="92" ref="U125:U131">IF(AG125="7",I125,0)</f>
        <v>0</v>
      </c>
      <c r="V125" s="23">
        <f aca="true" t="shared" si="93" ref="V125:V131">IF(AG125="2",H125,0)</f>
        <v>0</v>
      </c>
      <c r="W125" s="23">
        <f aca="true" t="shared" si="94" ref="W125:W131">IF(AG125="2",I125,0)</f>
        <v>0</v>
      </c>
      <c r="X125" s="23">
        <f aca="true" t="shared" si="95" ref="X125:X131">IF(AG125="0",J125,0)</f>
        <v>0</v>
      </c>
      <c r="Y125" s="67" t="s">
        <v>173</v>
      </c>
      <c r="Z125" s="4">
        <f aca="true" t="shared" si="96" ref="Z125:Z131">IF(AD125=0,J125,0)</f>
        <v>0</v>
      </c>
      <c r="AA125" s="4">
        <f aca="true" t="shared" si="97" ref="AA125:AA131">IF(AD125=15,J125,0)</f>
        <v>0</v>
      </c>
      <c r="AB125" s="4">
        <f aca="true" t="shared" si="98" ref="AB125:AB131">IF(AD125=21,J125,0)</f>
        <v>0</v>
      </c>
      <c r="AD125" s="23">
        <v>21</v>
      </c>
      <c r="AE125" s="23">
        <f>G125*0.415212765957447</f>
        <v>0</v>
      </c>
      <c r="AF125" s="23">
        <f>G125*(1-0.415212765957447)</f>
        <v>0</v>
      </c>
      <c r="AG125" s="72" t="s">
        <v>13</v>
      </c>
      <c r="AM125" s="23">
        <f aca="true" t="shared" si="99" ref="AM125:AM131">F125*AE125</f>
        <v>0</v>
      </c>
      <c r="AN125" s="23">
        <f aca="true" t="shared" si="100" ref="AN125:AN131">F125*AF125</f>
        <v>0</v>
      </c>
      <c r="AO125" s="75" t="s">
        <v>678</v>
      </c>
      <c r="AP125" s="75" t="s">
        <v>698</v>
      </c>
      <c r="AQ125" s="67" t="s">
        <v>710</v>
      </c>
      <c r="AS125" s="23">
        <f aca="true" t="shared" si="101" ref="AS125:AS131">AM125+AN125</f>
        <v>0</v>
      </c>
      <c r="AT125" s="23">
        <f aca="true" t="shared" si="102" ref="AT125:AT131">G125/(100-AU125)*100</f>
        <v>0</v>
      </c>
      <c r="AU125" s="23">
        <v>0</v>
      </c>
      <c r="AV125" s="23">
        <f aca="true" t="shared" si="103" ref="AV125:AV131">L125</f>
        <v>0.007205</v>
      </c>
    </row>
    <row r="126" spans="1:48" ht="12.75">
      <c r="A126" s="1" t="s">
        <v>94</v>
      </c>
      <c r="B126" s="1" t="s">
        <v>173</v>
      </c>
      <c r="C126" s="1" t="s">
        <v>275</v>
      </c>
      <c r="D126" s="1" t="s">
        <v>463</v>
      </c>
      <c r="E126" s="1" t="s">
        <v>556</v>
      </c>
      <c r="F126" s="4">
        <f>'Rozpočet - vybrané sloupce'!BA125</f>
        <v>5.1</v>
      </c>
      <c r="G126" s="6">
        <f>'Rozpočet - vybrané sloupce'!BF125</f>
        <v>0</v>
      </c>
      <c r="H126" s="4">
        <f t="shared" si="84"/>
        <v>0</v>
      </c>
      <c r="I126" s="4">
        <f t="shared" si="85"/>
        <v>0</v>
      </c>
      <c r="J126" s="4">
        <f t="shared" si="86"/>
        <v>0</v>
      </c>
      <c r="K126" s="4">
        <v>0.0007</v>
      </c>
      <c r="L126" s="4">
        <f t="shared" si="87"/>
        <v>0.00357</v>
      </c>
      <c r="M126" s="72" t="s">
        <v>643</v>
      </c>
      <c r="P126" s="23">
        <f t="shared" si="88"/>
        <v>0</v>
      </c>
      <c r="R126" s="23">
        <f t="shared" si="89"/>
        <v>0</v>
      </c>
      <c r="S126" s="23">
        <f t="shared" si="90"/>
        <v>0</v>
      </c>
      <c r="T126" s="23">
        <f t="shared" si="91"/>
        <v>0</v>
      </c>
      <c r="U126" s="23">
        <f t="shared" si="92"/>
        <v>0</v>
      </c>
      <c r="V126" s="23">
        <f t="shared" si="93"/>
        <v>0</v>
      </c>
      <c r="W126" s="23">
        <f t="shared" si="94"/>
        <v>0</v>
      </c>
      <c r="X126" s="23">
        <f t="shared" si="95"/>
        <v>0</v>
      </c>
      <c r="Y126" s="67" t="s">
        <v>173</v>
      </c>
      <c r="Z126" s="4">
        <f t="shared" si="96"/>
        <v>0</v>
      </c>
      <c r="AA126" s="4">
        <f t="shared" si="97"/>
        <v>0</v>
      </c>
      <c r="AB126" s="4">
        <f t="shared" si="98"/>
        <v>0</v>
      </c>
      <c r="AD126" s="23">
        <v>21</v>
      </c>
      <c r="AE126" s="23">
        <f>G126*0.341745692625775</f>
        <v>0</v>
      </c>
      <c r="AF126" s="23">
        <f>G126*(1-0.341745692625775)</f>
        <v>0</v>
      </c>
      <c r="AG126" s="72" t="s">
        <v>13</v>
      </c>
      <c r="AM126" s="23">
        <f t="shared" si="99"/>
        <v>0</v>
      </c>
      <c r="AN126" s="23">
        <f t="shared" si="100"/>
        <v>0</v>
      </c>
      <c r="AO126" s="75" t="s">
        <v>678</v>
      </c>
      <c r="AP126" s="75" t="s">
        <v>698</v>
      </c>
      <c r="AQ126" s="67" t="s">
        <v>710</v>
      </c>
      <c r="AS126" s="23">
        <f t="shared" si="101"/>
        <v>0</v>
      </c>
      <c r="AT126" s="23">
        <f t="shared" si="102"/>
        <v>0</v>
      </c>
      <c r="AU126" s="23">
        <v>0</v>
      </c>
      <c r="AV126" s="23">
        <f t="shared" si="103"/>
        <v>0.00357</v>
      </c>
    </row>
    <row r="127" spans="1:48" ht="12.75">
      <c r="A127" s="1" t="s">
        <v>95</v>
      </c>
      <c r="B127" s="1" t="s">
        <v>173</v>
      </c>
      <c r="C127" s="1" t="s">
        <v>276</v>
      </c>
      <c r="D127" s="1" t="s">
        <v>464</v>
      </c>
      <c r="E127" s="1" t="s">
        <v>556</v>
      </c>
      <c r="F127" s="4">
        <f>'Rozpočet - vybrané sloupce'!BA126</f>
        <v>33</v>
      </c>
      <c r="G127" s="6">
        <f>'Rozpočet - vybrané sloupce'!BF126</f>
        <v>0</v>
      </c>
      <c r="H127" s="4">
        <f t="shared" si="84"/>
        <v>0</v>
      </c>
      <c r="I127" s="4">
        <f t="shared" si="85"/>
        <v>0</v>
      </c>
      <c r="J127" s="4">
        <f t="shared" si="86"/>
        <v>0</v>
      </c>
      <c r="K127" s="4">
        <v>0.00171</v>
      </c>
      <c r="L127" s="4">
        <f t="shared" si="87"/>
        <v>0.05643</v>
      </c>
      <c r="M127" s="72" t="s">
        <v>643</v>
      </c>
      <c r="P127" s="23">
        <f t="shared" si="88"/>
        <v>0</v>
      </c>
      <c r="R127" s="23">
        <f t="shared" si="89"/>
        <v>0</v>
      </c>
      <c r="S127" s="23">
        <f t="shared" si="90"/>
        <v>0</v>
      </c>
      <c r="T127" s="23">
        <f t="shared" si="91"/>
        <v>0</v>
      </c>
      <c r="U127" s="23">
        <f t="shared" si="92"/>
        <v>0</v>
      </c>
      <c r="V127" s="23">
        <f t="shared" si="93"/>
        <v>0</v>
      </c>
      <c r="W127" s="23">
        <f t="shared" si="94"/>
        <v>0</v>
      </c>
      <c r="X127" s="23">
        <f t="shared" si="95"/>
        <v>0</v>
      </c>
      <c r="Y127" s="67" t="s">
        <v>173</v>
      </c>
      <c r="Z127" s="4">
        <f t="shared" si="96"/>
        <v>0</v>
      </c>
      <c r="AA127" s="4">
        <f t="shared" si="97"/>
        <v>0</v>
      </c>
      <c r="AB127" s="4">
        <f t="shared" si="98"/>
        <v>0</v>
      </c>
      <c r="AD127" s="23">
        <v>21</v>
      </c>
      <c r="AE127" s="23">
        <f>G127*0.380037593984962</f>
        <v>0</v>
      </c>
      <c r="AF127" s="23">
        <f>G127*(1-0.380037593984962)</f>
        <v>0</v>
      </c>
      <c r="AG127" s="72" t="s">
        <v>13</v>
      </c>
      <c r="AM127" s="23">
        <f t="shared" si="99"/>
        <v>0</v>
      </c>
      <c r="AN127" s="23">
        <f t="shared" si="100"/>
        <v>0</v>
      </c>
      <c r="AO127" s="75" t="s">
        <v>678</v>
      </c>
      <c r="AP127" s="75" t="s">
        <v>698</v>
      </c>
      <c r="AQ127" s="67" t="s">
        <v>710</v>
      </c>
      <c r="AS127" s="23">
        <f t="shared" si="101"/>
        <v>0</v>
      </c>
      <c r="AT127" s="23">
        <f t="shared" si="102"/>
        <v>0</v>
      </c>
      <c r="AU127" s="23">
        <v>0</v>
      </c>
      <c r="AV127" s="23">
        <f t="shared" si="103"/>
        <v>0.05643</v>
      </c>
    </row>
    <row r="128" spans="1:48" ht="12.75">
      <c r="A128" s="1" t="s">
        <v>96</v>
      </c>
      <c r="B128" s="1" t="s">
        <v>173</v>
      </c>
      <c r="C128" s="1" t="s">
        <v>277</v>
      </c>
      <c r="D128" s="1" t="s">
        <v>465</v>
      </c>
      <c r="E128" s="1" t="s">
        <v>555</v>
      </c>
      <c r="F128" s="4">
        <f>'Rozpočet - vybrané sloupce'!BA127</f>
        <v>1</v>
      </c>
      <c r="G128" s="6">
        <f>'Rozpočet - vybrané sloupce'!BF127</f>
        <v>0</v>
      </c>
      <c r="H128" s="4">
        <f t="shared" si="84"/>
        <v>0</v>
      </c>
      <c r="I128" s="4">
        <f t="shared" si="85"/>
        <v>0</v>
      </c>
      <c r="J128" s="4">
        <f t="shared" si="86"/>
        <v>0</v>
      </c>
      <c r="K128" s="4">
        <v>0.00127</v>
      </c>
      <c r="L128" s="4">
        <f t="shared" si="87"/>
        <v>0.00127</v>
      </c>
      <c r="M128" s="72" t="s">
        <v>643</v>
      </c>
      <c r="P128" s="23">
        <f t="shared" si="88"/>
        <v>0</v>
      </c>
      <c r="R128" s="23">
        <f t="shared" si="89"/>
        <v>0</v>
      </c>
      <c r="S128" s="23">
        <f t="shared" si="90"/>
        <v>0</v>
      </c>
      <c r="T128" s="23">
        <f t="shared" si="91"/>
        <v>0</v>
      </c>
      <c r="U128" s="23">
        <f t="shared" si="92"/>
        <v>0</v>
      </c>
      <c r="V128" s="23">
        <f t="shared" si="93"/>
        <v>0</v>
      </c>
      <c r="W128" s="23">
        <f t="shared" si="94"/>
        <v>0</v>
      </c>
      <c r="X128" s="23">
        <f t="shared" si="95"/>
        <v>0</v>
      </c>
      <c r="Y128" s="67" t="s">
        <v>173</v>
      </c>
      <c r="Z128" s="4">
        <f t="shared" si="96"/>
        <v>0</v>
      </c>
      <c r="AA128" s="4">
        <f t="shared" si="97"/>
        <v>0</v>
      </c>
      <c r="AB128" s="4">
        <f t="shared" si="98"/>
        <v>0</v>
      </c>
      <c r="AD128" s="23">
        <v>21</v>
      </c>
      <c r="AE128" s="23">
        <f>G128*0.965689440993789</f>
        <v>0</v>
      </c>
      <c r="AF128" s="23">
        <f>G128*(1-0.965689440993789)</f>
        <v>0</v>
      </c>
      <c r="AG128" s="72" t="s">
        <v>13</v>
      </c>
      <c r="AM128" s="23">
        <f t="shared" si="99"/>
        <v>0</v>
      </c>
      <c r="AN128" s="23">
        <f t="shared" si="100"/>
        <v>0</v>
      </c>
      <c r="AO128" s="75" t="s">
        <v>678</v>
      </c>
      <c r="AP128" s="75" t="s">
        <v>698</v>
      </c>
      <c r="AQ128" s="67" t="s">
        <v>710</v>
      </c>
      <c r="AS128" s="23">
        <f t="shared" si="101"/>
        <v>0</v>
      </c>
      <c r="AT128" s="23">
        <f t="shared" si="102"/>
        <v>0</v>
      </c>
      <c r="AU128" s="23">
        <v>0</v>
      </c>
      <c r="AV128" s="23">
        <f t="shared" si="103"/>
        <v>0.00127</v>
      </c>
    </row>
    <row r="129" spans="1:48" ht="12.75">
      <c r="A129" s="1" t="s">
        <v>97</v>
      </c>
      <c r="B129" s="1" t="s">
        <v>173</v>
      </c>
      <c r="C129" s="1" t="s">
        <v>278</v>
      </c>
      <c r="D129" s="1" t="s">
        <v>466</v>
      </c>
      <c r="E129" s="1" t="s">
        <v>553</v>
      </c>
      <c r="F129" s="4">
        <f>'Rozpočet - vybrané sloupce'!BA128</f>
        <v>0.07</v>
      </c>
      <c r="G129" s="6">
        <f>'Rozpočet - vybrané sloupce'!BF128</f>
        <v>0</v>
      </c>
      <c r="H129" s="4">
        <f t="shared" si="84"/>
        <v>0</v>
      </c>
      <c r="I129" s="4">
        <f t="shared" si="85"/>
        <v>0</v>
      </c>
      <c r="J129" s="4">
        <f t="shared" si="86"/>
        <v>0</v>
      </c>
      <c r="K129" s="4">
        <v>0</v>
      </c>
      <c r="L129" s="4">
        <f t="shared" si="87"/>
        <v>0</v>
      </c>
      <c r="M129" s="72" t="s">
        <v>643</v>
      </c>
      <c r="P129" s="23">
        <f t="shared" si="88"/>
        <v>0</v>
      </c>
      <c r="R129" s="23">
        <f t="shared" si="89"/>
        <v>0</v>
      </c>
      <c r="S129" s="23">
        <f t="shared" si="90"/>
        <v>0</v>
      </c>
      <c r="T129" s="23">
        <f t="shared" si="91"/>
        <v>0</v>
      </c>
      <c r="U129" s="23">
        <f t="shared" si="92"/>
        <v>0</v>
      </c>
      <c r="V129" s="23">
        <f t="shared" si="93"/>
        <v>0</v>
      </c>
      <c r="W129" s="23">
        <f t="shared" si="94"/>
        <v>0</v>
      </c>
      <c r="X129" s="23">
        <f t="shared" si="95"/>
        <v>0</v>
      </c>
      <c r="Y129" s="67" t="s">
        <v>173</v>
      </c>
      <c r="Z129" s="4">
        <f t="shared" si="96"/>
        <v>0</v>
      </c>
      <c r="AA129" s="4">
        <f t="shared" si="97"/>
        <v>0</v>
      </c>
      <c r="AB129" s="4">
        <f t="shared" si="98"/>
        <v>0</v>
      </c>
      <c r="AD129" s="23">
        <v>21</v>
      </c>
      <c r="AE129" s="23">
        <f>G129*0</f>
        <v>0</v>
      </c>
      <c r="AF129" s="23">
        <f>G129*(1-0)</f>
        <v>0</v>
      </c>
      <c r="AG129" s="72" t="s">
        <v>11</v>
      </c>
      <c r="AM129" s="23">
        <f t="shared" si="99"/>
        <v>0</v>
      </c>
      <c r="AN129" s="23">
        <f t="shared" si="100"/>
        <v>0</v>
      </c>
      <c r="AO129" s="75" t="s">
        <v>678</v>
      </c>
      <c r="AP129" s="75" t="s">
        <v>698</v>
      </c>
      <c r="AQ129" s="67" t="s">
        <v>710</v>
      </c>
      <c r="AS129" s="23">
        <f t="shared" si="101"/>
        <v>0</v>
      </c>
      <c r="AT129" s="23">
        <f t="shared" si="102"/>
        <v>0</v>
      </c>
      <c r="AU129" s="23">
        <v>0</v>
      </c>
      <c r="AV129" s="23">
        <f t="shared" si="103"/>
        <v>0</v>
      </c>
    </row>
    <row r="130" spans="1:48" ht="12.75">
      <c r="A130" s="1" t="s">
        <v>98</v>
      </c>
      <c r="B130" s="1" t="s">
        <v>173</v>
      </c>
      <c r="C130" s="1" t="s">
        <v>279</v>
      </c>
      <c r="D130" s="1" t="s">
        <v>467</v>
      </c>
      <c r="E130" s="1" t="s">
        <v>556</v>
      </c>
      <c r="F130" s="4">
        <f>'Rozpočet - vybrané sloupce'!BA129</f>
        <v>43.6</v>
      </c>
      <c r="G130" s="6">
        <f>'Rozpočet - vybrané sloupce'!BF129</f>
        <v>0</v>
      </c>
      <c r="H130" s="4">
        <f t="shared" si="84"/>
        <v>0</v>
      </c>
      <c r="I130" s="4">
        <f t="shared" si="85"/>
        <v>0</v>
      </c>
      <c r="J130" s="4">
        <f t="shared" si="86"/>
        <v>0</v>
      </c>
      <c r="K130" s="4">
        <v>0</v>
      </c>
      <c r="L130" s="4">
        <f t="shared" si="87"/>
        <v>0</v>
      </c>
      <c r="M130" s="72" t="s">
        <v>643</v>
      </c>
      <c r="P130" s="23">
        <f t="shared" si="88"/>
        <v>0</v>
      </c>
      <c r="R130" s="23">
        <f t="shared" si="89"/>
        <v>0</v>
      </c>
      <c r="S130" s="23">
        <f t="shared" si="90"/>
        <v>0</v>
      </c>
      <c r="T130" s="23">
        <f t="shared" si="91"/>
        <v>0</v>
      </c>
      <c r="U130" s="23">
        <f t="shared" si="92"/>
        <v>0</v>
      </c>
      <c r="V130" s="23">
        <f t="shared" si="93"/>
        <v>0</v>
      </c>
      <c r="W130" s="23">
        <f t="shared" si="94"/>
        <v>0</v>
      </c>
      <c r="X130" s="23">
        <f t="shared" si="95"/>
        <v>0</v>
      </c>
      <c r="Y130" s="67" t="s">
        <v>173</v>
      </c>
      <c r="Z130" s="4">
        <f t="shared" si="96"/>
        <v>0</v>
      </c>
      <c r="AA130" s="4">
        <f t="shared" si="97"/>
        <v>0</v>
      </c>
      <c r="AB130" s="4">
        <f t="shared" si="98"/>
        <v>0</v>
      </c>
      <c r="AD130" s="23">
        <v>21</v>
      </c>
      <c r="AE130" s="23">
        <f>G130*0.0595833333333333</f>
        <v>0</v>
      </c>
      <c r="AF130" s="23">
        <f>G130*(1-0.0595833333333333)</f>
        <v>0</v>
      </c>
      <c r="AG130" s="72" t="s">
        <v>13</v>
      </c>
      <c r="AM130" s="23">
        <f t="shared" si="99"/>
        <v>0</v>
      </c>
      <c r="AN130" s="23">
        <f t="shared" si="100"/>
        <v>0</v>
      </c>
      <c r="AO130" s="75" t="s">
        <v>678</v>
      </c>
      <c r="AP130" s="75" t="s">
        <v>698</v>
      </c>
      <c r="AQ130" s="67" t="s">
        <v>710</v>
      </c>
      <c r="AS130" s="23">
        <f t="shared" si="101"/>
        <v>0</v>
      </c>
      <c r="AT130" s="23">
        <f t="shared" si="102"/>
        <v>0</v>
      </c>
      <c r="AU130" s="23">
        <v>0</v>
      </c>
      <c r="AV130" s="23">
        <f t="shared" si="103"/>
        <v>0</v>
      </c>
    </row>
    <row r="131" spans="1:48" ht="12.75">
      <c r="A131" s="1" t="s">
        <v>99</v>
      </c>
      <c r="B131" s="1" t="s">
        <v>173</v>
      </c>
      <c r="C131" s="1" t="s">
        <v>280</v>
      </c>
      <c r="D131" s="1" t="s">
        <v>468</v>
      </c>
      <c r="E131" s="1" t="s">
        <v>555</v>
      </c>
      <c r="F131" s="4">
        <f>'Rozpočet - vybrané sloupce'!BA130</f>
        <v>1</v>
      </c>
      <c r="G131" s="6">
        <f>'Rozpočet - vybrané sloupce'!BF130</f>
        <v>0</v>
      </c>
      <c r="H131" s="4">
        <f t="shared" si="84"/>
        <v>0</v>
      </c>
      <c r="I131" s="4">
        <f t="shared" si="85"/>
        <v>0</v>
      </c>
      <c r="J131" s="4">
        <f t="shared" si="86"/>
        <v>0</v>
      </c>
      <c r="K131" s="4">
        <v>0.00027</v>
      </c>
      <c r="L131" s="4">
        <f t="shared" si="87"/>
        <v>0.00027</v>
      </c>
      <c r="M131" s="72" t="s">
        <v>643</v>
      </c>
      <c r="P131" s="23">
        <f t="shared" si="88"/>
        <v>0</v>
      </c>
      <c r="R131" s="23">
        <f t="shared" si="89"/>
        <v>0</v>
      </c>
      <c r="S131" s="23">
        <f t="shared" si="90"/>
        <v>0</v>
      </c>
      <c r="T131" s="23">
        <f t="shared" si="91"/>
        <v>0</v>
      </c>
      <c r="U131" s="23">
        <f t="shared" si="92"/>
        <v>0</v>
      </c>
      <c r="V131" s="23">
        <f t="shared" si="93"/>
        <v>0</v>
      </c>
      <c r="W131" s="23">
        <f t="shared" si="94"/>
        <v>0</v>
      </c>
      <c r="X131" s="23">
        <f t="shared" si="95"/>
        <v>0</v>
      </c>
      <c r="Y131" s="67" t="s">
        <v>173</v>
      </c>
      <c r="Z131" s="4">
        <f t="shared" si="96"/>
        <v>0</v>
      </c>
      <c r="AA131" s="4">
        <f t="shared" si="97"/>
        <v>0</v>
      </c>
      <c r="AB131" s="4">
        <f t="shared" si="98"/>
        <v>0</v>
      </c>
      <c r="AD131" s="23">
        <v>21</v>
      </c>
      <c r="AE131" s="23">
        <f>G131*0.811603053435115</f>
        <v>0</v>
      </c>
      <c r="AF131" s="23">
        <f>G131*(1-0.811603053435115)</f>
        <v>0</v>
      </c>
      <c r="AG131" s="72" t="s">
        <v>13</v>
      </c>
      <c r="AM131" s="23">
        <f t="shared" si="99"/>
        <v>0</v>
      </c>
      <c r="AN131" s="23">
        <f t="shared" si="100"/>
        <v>0</v>
      </c>
      <c r="AO131" s="75" t="s">
        <v>678</v>
      </c>
      <c r="AP131" s="75" t="s">
        <v>698</v>
      </c>
      <c r="AQ131" s="67" t="s">
        <v>710</v>
      </c>
      <c r="AS131" s="23">
        <f t="shared" si="101"/>
        <v>0</v>
      </c>
      <c r="AT131" s="23">
        <f t="shared" si="102"/>
        <v>0</v>
      </c>
      <c r="AU131" s="23">
        <v>0</v>
      </c>
      <c r="AV131" s="23">
        <f t="shared" si="103"/>
        <v>0.00027</v>
      </c>
    </row>
    <row r="132" spans="1:37" ht="12.75">
      <c r="A132" s="52"/>
      <c r="B132" s="58" t="s">
        <v>173</v>
      </c>
      <c r="C132" s="58" t="s">
        <v>281</v>
      </c>
      <c r="D132" s="58" t="s">
        <v>469</v>
      </c>
      <c r="E132" s="52" t="s">
        <v>6</v>
      </c>
      <c r="F132" s="52" t="s">
        <v>6</v>
      </c>
      <c r="G132" s="64" t="s">
        <v>6</v>
      </c>
      <c r="H132" s="9">
        <f>SUM(H133:H145)</f>
        <v>0</v>
      </c>
      <c r="I132" s="9">
        <f>SUM(I133:I145)</f>
        <v>0</v>
      </c>
      <c r="J132" s="9">
        <f>H132+I132</f>
        <v>0</v>
      </c>
      <c r="K132" s="67"/>
      <c r="L132" s="9">
        <f>SUM(L133:L145)</f>
        <v>0.043803999999999996</v>
      </c>
      <c r="M132" s="67"/>
      <c r="Y132" s="67" t="s">
        <v>173</v>
      </c>
      <c r="AI132" s="9">
        <f>SUM(Z133:Z145)</f>
        <v>0</v>
      </c>
      <c r="AJ132" s="9">
        <f>SUM(AA133:AA145)</f>
        <v>0</v>
      </c>
      <c r="AK132" s="9">
        <f>SUM(AB133:AB145)</f>
        <v>0</v>
      </c>
    </row>
    <row r="133" spans="1:48" ht="12.75">
      <c r="A133" s="1" t="s">
        <v>100</v>
      </c>
      <c r="B133" s="1" t="s">
        <v>173</v>
      </c>
      <c r="C133" s="1" t="s">
        <v>282</v>
      </c>
      <c r="D133" s="1" t="s">
        <v>470</v>
      </c>
      <c r="E133" s="1" t="s">
        <v>556</v>
      </c>
      <c r="F133" s="4">
        <f>'Rozpočet - vybrané sloupce'!BA132</f>
        <v>25.1</v>
      </c>
      <c r="G133" s="6">
        <f>'Rozpočet - vybrané sloupce'!BF132</f>
        <v>0</v>
      </c>
      <c r="H133" s="4">
        <f aca="true" t="shared" si="104" ref="H133:H145">F133*AE133</f>
        <v>0</v>
      </c>
      <c r="I133" s="4">
        <f aca="true" t="shared" si="105" ref="I133:I145">J133-H133</f>
        <v>0</v>
      </c>
      <c r="J133" s="4">
        <f aca="true" t="shared" si="106" ref="J133:J145">F133*G133</f>
        <v>0</v>
      </c>
      <c r="K133" s="4">
        <v>0.00046</v>
      </c>
      <c r="L133" s="4">
        <f aca="true" t="shared" si="107" ref="L133:L145">F133*K133</f>
        <v>0.011546</v>
      </c>
      <c r="M133" s="72" t="s">
        <v>643</v>
      </c>
      <c r="P133" s="23">
        <f aca="true" t="shared" si="108" ref="P133:P145">IF(AG133="5",J133,0)</f>
        <v>0</v>
      </c>
      <c r="R133" s="23">
        <f aca="true" t="shared" si="109" ref="R133:R145">IF(AG133="1",H133,0)</f>
        <v>0</v>
      </c>
      <c r="S133" s="23">
        <f aca="true" t="shared" si="110" ref="S133:S145">IF(AG133="1",I133,0)</f>
        <v>0</v>
      </c>
      <c r="T133" s="23">
        <f aca="true" t="shared" si="111" ref="T133:T145">IF(AG133="7",H133,0)</f>
        <v>0</v>
      </c>
      <c r="U133" s="23">
        <f aca="true" t="shared" si="112" ref="U133:U145">IF(AG133="7",I133,0)</f>
        <v>0</v>
      </c>
      <c r="V133" s="23">
        <f aca="true" t="shared" si="113" ref="V133:V145">IF(AG133="2",H133,0)</f>
        <v>0</v>
      </c>
      <c r="W133" s="23">
        <f aca="true" t="shared" si="114" ref="W133:W145">IF(AG133="2",I133,0)</f>
        <v>0</v>
      </c>
      <c r="X133" s="23">
        <f aca="true" t="shared" si="115" ref="X133:X145">IF(AG133="0",J133,0)</f>
        <v>0</v>
      </c>
      <c r="Y133" s="67" t="s">
        <v>173</v>
      </c>
      <c r="Z133" s="4">
        <f aca="true" t="shared" si="116" ref="Z133:Z145">IF(AD133=0,J133,0)</f>
        <v>0</v>
      </c>
      <c r="AA133" s="4">
        <f aca="true" t="shared" si="117" ref="AA133:AA145">IF(AD133=15,J133,0)</f>
        <v>0</v>
      </c>
      <c r="AB133" s="4">
        <f aca="true" t="shared" si="118" ref="AB133:AB145">IF(AD133=21,J133,0)</f>
        <v>0</v>
      </c>
      <c r="AD133" s="23">
        <v>21</v>
      </c>
      <c r="AE133" s="23">
        <f>G133*0.208220211161388</f>
        <v>0</v>
      </c>
      <c r="AF133" s="23">
        <f>G133*(1-0.208220211161388)</f>
        <v>0</v>
      </c>
      <c r="AG133" s="72" t="s">
        <v>13</v>
      </c>
      <c r="AM133" s="23">
        <f aca="true" t="shared" si="119" ref="AM133:AM145">F133*AE133</f>
        <v>0</v>
      </c>
      <c r="AN133" s="23">
        <f aca="true" t="shared" si="120" ref="AN133:AN145">F133*AF133</f>
        <v>0</v>
      </c>
      <c r="AO133" s="75" t="s">
        <v>679</v>
      </c>
      <c r="AP133" s="75" t="s">
        <v>698</v>
      </c>
      <c r="AQ133" s="67" t="s">
        <v>710</v>
      </c>
      <c r="AS133" s="23">
        <f aca="true" t="shared" si="121" ref="AS133:AS145">AM133+AN133</f>
        <v>0</v>
      </c>
      <c r="AT133" s="23">
        <f aca="true" t="shared" si="122" ref="AT133:AT145">G133/(100-AU133)*100</f>
        <v>0</v>
      </c>
      <c r="AU133" s="23">
        <v>0</v>
      </c>
      <c r="AV133" s="23">
        <f aca="true" t="shared" si="123" ref="AV133:AV145">L133</f>
        <v>0.011546</v>
      </c>
    </row>
    <row r="134" spans="1:48" ht="12.75">
      <c r="A134" s="1" t="s">
        <v>101</v>
      </c>
      <c r="B134" s="1" t="s">
        <v>173</v>
      </c>
      <c r="C134" s="1" t="s">
        <v>283</v>
      </c>
      <c r="D134" s="1" t="s">
        <v>471</v>
      </c>
      <c r="E134" s="1" t="s">
        <v>556</v>
      </c>
      <c r="F134" s="4">
        <f>'Rozpočet - vybrané sloupce'!BA133</f>
        <v>18.3</v>
      </c>
      <c r="G134" s="6">
        <f>'Rozpočet - vybrané sloupce'!BF133</f>
        <v>0</v>
      </c>
      <c r="H134" s="4">
        <f t="shared" si="104"/>
        <v>0</v>
      </c>
      <c r="I134" s="4">
        <f t="shared" si="105"/>
        <v>0</v>
      </c>
      <c r="J134" s="4">
        <f t="shared" si="106"/>
        <v>0</v>
      </c>
      <c r="K134" s="4">
        <v>0.00058</v>
      </c>
      <c r="L134" s="4">
        <f t="shared" si="107"/>
        <v>0.010614</v>
      </c>
      <c r="M134" s="72" t="s">
        <v>643</v>
      </c>
      <c r="P134" s="23">
        <f t="shared" si="108"/>
        <v>0</v>
      </c>
      <c r="R134" s="23">
        <f t="shared" si="109"/>
        <v>0</v>
      </c>
      <c r="S134" s="23">
        <f t="shared" si="110"/>
        <v>0</v>
      </c>
      <c r="T134" s="23">
        <f t="shared" si="111"/>
        <v>0</v>
      </c>
      <c r="U134" s="23">
        <f t="shared" si="112"/>
        <v>0</v>
      </c>
      <c r="V134" s="23">
        <f t="shared" si="113"/>
        <v>0</v>
      </c>
      <c r="W134" s="23">
        <f t="shared" si="114"/>
        <v>0</v>
      </c>
      <c r="X134" s="23">
        <f t="shared" si="115"/>
        <v>0</v>
      </c>
      <c r="Y134" s="67" t="s">
        <v>173</v>
      </c>
      <c r="Z134" s="4">
        <f t="shared" si="116"/>
        <v>0</v>
      </c>
      <c r="AA134" s="4">
        <f t="shared" si="117"/>
        <v>0</v>
      </c>
      <c r="AB134" s="4">
        <f t="shared" si="118"/>
        <v>0</v>
      </c>
      <c r="AD134" s="23">
        <v>21</v>
      </c>
      <c r="AE134" s="23">
        <f>G134*0.247194806062936</f>
        <v>0</v>
      </c>
      <c r="AF134" s="23">
        <f>G134*(1-0.247194806062936)</f>
        <v>0</v>
      </c>
      <c r="AG134" s="72" t="s">
        <v>13</v>
      </c>
      <c r="AM134" s="23">
        <f t="shared" si="119"/>
        <v>0</v>
      </c>
      <c r="AN134" s="23">
        <f t="shared" si="120"/>
        <v>0</v>
      </c>
      <c r="AO134" s="75" t="s">
        <v>679</v>
      </c>
      <c r="AP134" s="75" t="s">
        <v>698</v>
      </c>
      <c r="AQ134" s="67" t="s">
        <v>710</v>
      </c>
      <c r="AS134" s="23">
        <f t="shared" si="121"/>
        <v>0</v>
      </c>
      <c r="AT134" s="23">
        <f t="shared" si="122"/>
        <v>0</v>
      </c>
      <c r="AU134" s="23">
        <v>0</v>
      </c>
      <c r="AV134" s="23">
        <f t="shared" si="123"/>
        <v>0.010614</v>
      </c>
    </row>
    <row r="135" spans="1:48" ht="12.75">
      <c r="A135" s="1" t="s">
        <v>102</v>
      </c>
      <c r="B135" s="1" t="s">
        <v>173</v>
      </c>
      <c r="C135" s="1" t="s">
        <v>284</v>
      </c>
      <c r="D135" s="1" t="s">
        <v>472</v>
      </c>
      <c r="E135" s="1" t="s">
        <v>556</v>
      </c>
      <c r="F135" s="4">
        <f>'Rozpočet - vybrané sloupce'!BA134</f>
        <v>21</v>
      </c>
      <c r="G135" s="6">
        <f>'Rozpočet - vybrané sloupce'!BF134</f>
        <v>0</v>
      </c>
      <c r="H135" s="4">
        <f t="shared" si="104"/>
        <v>0</v>
      </c>
      <c r="I135" s="4">
        <f t="shared" si="105"/>
        <v>0</v>
      </c>
      <c r="J135" s="4">
        <f t="shared" si="106"/>
        <v>0</v>
      </c>
      <c r="K135" s="4">
        <v>0.00074</v>
      </c>
      <c r="L135" s="4">
        <f t="shared" si="107"/>
        <v>0.01554</v>
      </c>
      <c r="M135" s="72" t="s">
        <v>643</v>
      </c>
      <c r="P135" s="23">
        <f t="shared" si="108"/>
        <v>0</v>
      </c>
      <c r="R135" s="23">
        <f t="shared" si="109"/>
        <v>0</v>
      </c>
      <c r="S135" s="23">
        <f t="shared" si="110"/>
        <v>0</v>
      </c>
      <c r="T135" s="23">
        <f t="shared" si="111"/>
        <v>0</v>
      </c>
      <c r="U135" s="23">
        <f t="shared" si="112"/>
        <v>0</v>
      </c>
      <c r="V135" s="23">
        <f t="shared" si="113"/>
        <v>0</v>
      </c>
      <c r="W135" s="23">
        <f t="shared" si="114"/>
        <v>0</v>
      </c>
      <c r="X135" s="23">
        <f t="shared" si="115"/>
        <v>0</v>
      </c>
      <c r="Y135" s="67" t="s">
        <v>173</v>
      </c>
      <c r="Z135" s="4">
        <f t="shared" si="116"/>
        <v>0</v>
      </c>
      <c r="AA135" s="4">
        <f t="shared" si="117"/>
        <v>0</v>
      </c>
      <c r="AB135" s="4">
        <f t="shared" si="118"/>
        <v>0</v>
      </c>
      <c r="AD135" s="23">
        <v>21</v>
      </c>
      <c r="AE135" s="23">
        <f>G135*0.303888888888889</f>
        <v>0</v>
      </c>
      <c r="AF135" s="23">
        <f>G135*(1-0.303888888888889)</f>
        <v>0</v>
      </c>
      <c r="AG135" s="72" t="s">
        <v>13</v>
      </c>
      <c r="AM135" s="23">
        <f t="shared" si="119"/>
        <v>0</v>
      </c>
      <c r="AN135" s="23">
        <f t="shared" si="120"/>
        <v>0</v>
      </c>
      <c r="AO135" s="75" t="s">
        <v>679</v>
      </c>
      <c r="AP135" s="75" t="s">
        <v>698</v>
      </c>
      <c r="AQ135" s="67" t="s">
        <v>710</v>
      </c>
      <c r="AS135" s="23">
        <f t="shared" si="121"/>
        <v>0</v>
      </c>
      <c r="AT135" s="23">
        <f t="shared" si="122"/>
        <v>0</v>
      </c>
      <c r="AU135" s="23">
        <v>0</v>
      </c>
      <c r="AV135" s="23">
        <f t="shared" si="123"/>
        <v>0.01554</v>
      </c>
    </row>
    <row r="136" spans="1:48" ht="12.75">
      <c r="A136" s="1" t="s">
        <v>103</v>
      </c>
      <c r="B136" s="1" t="s">
        <v>173</v>
      </c>
      <c r="C136" s="1" t="s">
        <v>285</v>
      </c>
      <c r="D136" s="1" t="s">
        <v>473</v>
      </c>
      <c r="E136" s="1" t="s">
        <v>555</v>
      </c>
      <c r="F136" s="4">
        <f>'Rozpočet - vybrané sloupce'!BA135</f>
        <v>3</v>
      </c>
      <c r="G136" s="6">
        <f>'Rozpočet - vybrané sloupce'!BF135</f>
        <v>0</v>
      </c>
      <c r="H136" s="4">
        <f t="shared" si="104"/>
        <v>0</v>
      </c>
      <c r="I136" s="4">
        <f t="shared" si="105"/>
        <v>0</v>
      </c>
      <c r="J136" s="4">
        <f t="shared" si="106"/>
        <v>0</v>
      </c>
      <c r="K136" s="4">
        <v>0.00017</v>
      </c>
      <c r="L136" s="4">
        <f t="shared" si="107"/>
        <v>0.00051</v>
      </c>
      <c r="M136" s="72" t="s">
        <v>643</v>
      </c>
      <c r="P136" s="23">
        <f t="shared" si="108"/>
        <v>0</v>
      </c>
      <c r="R136" s="23">
        <f t="shared" si="109"/>
        <v>0</v>
      </c>
      <c r="S136" s="23">
        <f t="shared" si="110"/>
        <v>0</v>
      </c>
      <c r="T136" s="23">
        <f t="shared" si="111"/>
        <v>0</v>
      </c>
      <c r="U136" s="23">
        <f t="shared" si="112"/>
        <v>0</v>
      </c>
      <c r="V136" s="23">
        <f t="shared" si="113"/>
        <v>0</v>
      </c>
      <c r="W136" s="23">
        <f t="shared" si="114"/>
        <v>0</v>
      </c>
      <c r="X136" s="23">
        <f t="shared" si="115"/>
        <v>0</v>
      </c>
      <c r="Y136" s="67" t="s">
        <v>173</v>
      </c>
      <c r="Z136" s="4">
        <f t="shared" si="116"/>
        <v>0</v>
      </c>
      <c r="AA136" s="4">
        <f t="shared" si="117"/>
        <v>0</v>
      </c>
      <c r="AB136" s="4">
        <f t="shared" si="118"/>
        <v>0</v>
      </c>
      <c r="AD136" s="23">
        <v>21</v>
      </c>
      <c r="AE136" s="23">
        <f>G136*0.862730923694779</f>
        <v>0</v>
      </c>
      <c r="AF136" s="23">
        <f>G136*(1-0.862730923694779)</f>
        <v>0</v>
      </c>
      <c r="AG136" s="72" t="s">
        <v>13</v>
      </c>
      <c r="AM136" s="23">
        <f t="shared" si="119"/>
        <v>0</v>
      </c>
      <c r="AN136" s="23">
        <f t="shared" si="120"/>
        <v>0</v>
      </c>
      <c r="AO136" s="75" t="s">
        <v>679</v>
      </c>
      <c r="AP136" s="75" t="s">
        <v>698</v>
      </c>
      <c r="AQ136" s="67" t="s">
        <v>710</v>
      </c>
      <c r="AS136" s="23">
        <f t="shared" si="121"/>
        <v>0</v>
      </c>
      <c r="AT136" s="23">
        <f t="shared" si="122"/>
        <v>0</v>
      </c>
      <c r="AU136" s="23">
        <v>0</v>
      </c>
      <c r="AV136" s="23">
        <f t="shared" si="123"/>
        <v>0.00051</v>
      </c>
    </row>
    <row r="137" spans="1:48" ht="12.75">
      <c r="A137" s="1" t="s">
        <v>104</v>
      </c>
      <c r="B137" s="1" t="s">
        <v>173</v>
      </c>
      <c r="C137" s="1" t="s">
        <v>286</v>
      </c>
      <c r="D137" s="1" t="s">
        <v>474</v>
      </c>
      <c r="E137" s="1" t="s">
        <v>555</v>
      </c>
      <c r="F137" s="4">
        <f>'Rozpočet - vybrané sloupce'!BA136</f>
        <v>1</v>
      </c>
      <c r="G137" s="6">
        <f>'Rozpočet - vybrané sloupce'!BF136</f>
        <v>0</v>
      </c>
      <c r="H137" s="4">
        <f t="shared" si="104"/>
        <v>0</v>
      </c>
      <c r="I137" s="4">
        <f t="shared" si="105"/>
        <v>0</v>
      </c>
      <c r="J137" s="4">
        <f t="shared" si="106"/>
        <v>0</v>
      </c>
      <c r="K137" s="4">
        <v>0.00043</v>
      </c>
      <c r="L137" s="4">
        <f t="shared" si="107"/>
        <v>0.00043</v>
      </c>
      <c r="M137" s="72" t="s">
        <v>643</v>
      </c>
      <c r="P137" s="23">
        <f t="shared" si="108"/>
        <v>0</v>
      </c>
      <c r="R137" s="23">
        <f t="shared" si="109"/>
        <v>0</v>
      </c>
      <c r="S137" s="23">
        <f t="shared" si="110"/>
        <v>0</v>
      </c>
      <c r="T137" s="23">
        <f t="shared" si="111"/>
        <v>0</v>
      </c>
      <c r="U137" s="23">
        <f t="shared" si="112"/>
        <v>0</v>
      </c>
      <c r="V137" s="23">
        <f t="shared" si="113"/>
        <v>0</v>
      </c>
      <c r="W137" s="23">
        <f t="shared" si="114"/>
        <v>0</v>
      </c>
      <c r="X137" s="23">
        <f t="shared" si="115"/>
        <v>0</v>
      </c>
      <c r="Y137" s="67" t="s">
        <v>173</v>
      </c>
      <c r="Z137" s="4">
        <f t="shared" si="116"/>
        <v>0</v>
      </c>
      <c r="AA137" s="4">
        <f t="shared" si="117"/>
        <v>0</v>
      </c>
      <c r="AB137" s="4">
        <f t="shared" si="118"/>
        <v>0</v>
      </c>
      <c r="AD137" s="23">
        <v>21</v>
      </c>
      <c r="AE137" s="23">
        <f>G137*0.875759577278732</f>
        <v>0</v>
      </c>
      <c r="AF137" s="23">
        <f>G137*(1-0.875759577278732)</f>
        <v>0</v>
      </c>
      <c r="AG137" s="72" t="s">
        <v>13</v>
      </c>
      <c r="AM137" s="23">
        <f t="shared" si="119"/>
        <v>0</v>
      </c>
      <c r="AN137" s="23">
        <f t="shared" si="120"/>
        <v>0</v>
      </c>
      <c r="AO137" s="75" t="s">
        <v>679</v>
      </c>
      <c r="AP137" s="75" t="s">
        <v>698</v>
      </c>
      <c r="AQ137" s="67" t="s">
        <v>710</v>
      </c>
      <c r="AS137" s="23">
        <f t="shared" si="121"/>
        <v>0</v>
      </c>
      <c r="AT137" s="23">
        <f t="shared" si="122"/>
        <v>0</v>
      </c>
      <c r="AU137" s="23">
        <v>0</v>
      </c>
      <c r="AV137" s="23">
        <f t="shared" si="123"/>
        <v>0.00043</v>
      </c>
    </row>
    <row r="138" spans="1:48" ht="12.75">
      <c r="A138" s="1" t="s">
        <v>105</v>
      </c>
      <c r="B138" s="1" t="s">
        <v>173</v>
      </c>
      <c r="C138" s="1" t="s">
        <v>287</v>
      </c>
      <c r="D138" s="1" t="s">
        <v>475</v>
      </c>
      <c r="E138" s="1" t="s">
        <v>556</v>
      </c>
      <c r="F138" s="4">
        <f>'Rozpočet - vybrané sloupce'!BA137</f>
        <v>34</v>
      </c>
      <c r="G138" s="6">
        <f>'Rozpočet - vybrané sloupce'!BF137</f>
        <v>0</v>
      </c>
      <c r="H138" s="4">
        <f t="shared" si="104"/>
        <v>0</v>
      </c>
      <c r="I138" s="4">
        <f t="shared" si="105"/>
        <v>0</v>
      </c>
      <c r="J138" s="4">
        <f t="shared" si="106"/>
        <v>0</v>
      </c>
      <c r="K138" s="4">
        <v>6E-05</v>
      </c>
      <c r="L138" s="4">
        <f t="shared" si="107"/>
        <v>0.00204</v>
      </c>
      <c r="M138" s="72" t="s">
        <v>643</v>
      </c>
      <c r="P138" s="23">
        <f t="shared" si="108"/>
        <v>0</v>
      </c>
      <c r="R138" s="23">
        <f t="shared" si="109"/>
        <v>0</v>
      </c>
      <c r="S138" s="23">
        <f t="shared" si="110"/>
        <v>0</v>
      </c>
      <c r="T138" s="23">
        <f t="shared" si="111"/>
        <v>0</v>
      </c>
      <c r="U138" s="23">
        <f t="shared" si="112"/>
        <v>0</v>
      </c>
      <c r="V138" s="23">
        <f t="shared" si="113"/>
        <v>0</v>
      </c>
      <c r="W138" s="23">
        <f t="shared" si="114"/>
        <v>0</v>
      </c>
      <c r="X138" s="23">
        <f t="shared" si="115"/>
        <v>0</v>
      </c>
      <c r="Y138" s="67" t="s">
        <v>173</v>
      </c>
      <c r="Z138" s="4">
        <f t="shared" si="116"/>
        <v>0</v>
      </c>
      <c r="AA138" s="4">
        <f t="shared" si="117"/>
        <v>0</v>
      </c>
      <c r="AB138" s="4">
        <f t="shared" si="118"/>
        <v>0</v>
      </c>
      <c r="AD138" s="23">
        <v>21</v>
      </c>
      <c r="AE138" s="23">
        <f>G138*0.335972222222222</f>
        <v>0</v>
      </c>
      <c r="AF138" s="23">
        <f>G138*(1-0.335972222222222)</f>
        <v>0</v>
      </c>
      <c r="AG138" s="72" t="s">
        <v>13</v>
      </c>
      <c r="AM138" s="23">
        <f t="shared" si="119"/>
        <v>0</v>
      </c>
      <c r="AN138" s="23">
        <f t="shared" si="120"/>
        <v>0</v>
      </c>
      <c r="AO138" s="75" t="s">
        <v>679</v>
      </c>
      <c r="AP138" s="75" t="s">
        <v>698</v>
      </c>
      <c r="AQ138" s="67" t="s">
        <v>710</v>
      </c>
      <c r="AS138" s="23">
        <f t="shared" si="121"/>
        <v>0</v>
      </c>
      <c r="AT138" s="23">
        <f t="shared" si="122"/>
        <v>0</v>
      </c>
      <c r="AU138" s="23">
        <v>0</v>
      </c>
      <c r="AV138" s="23">
        <f t="shared" si="123"/>
        <v>0.00204</v>
      </c>
    </row>
    <row r="139" spans="1:48" ht="12.75">
      <c r="A139" s="1" t="s">
        <v>106</v>
      </c>
      <c r="B139" s="1" t="s">
        <v>173</v>
      </c>
      <c r="C139" s="1" t="s">
        <v>288</v>
      </c>
      <c r="D139" s="1" t="s">
        <v>476</v>
      </c>
      <c r="E139" s="1" t="s">
        <v>556</v>
      </c>
      <c r="F139" s="4">
        <f>'Rozpočet - vybrané sloupce'!BA138</f>
        <v>31</v>
      </c>
      <c r="G139" s="6">
        <f>'Rozpočet - vybrané sloupce'!BF138</f>
        <v>0</v>
      </c>
      <c r="H139" s="4">
        <f t="shared" si="104"/>
        <v>0</v>
      </c>
      <c r="I139" s="4">
        <f t="shared" si="105"/>
        <v>0</v>
      </c>
      <c r="J139" s="4">
        <f t="shared" si="106"/>
        <v>0</v>
      </c>
      <c r="K139" s="4">
        <v>8E-05</v>
      </c>
      <c r="L139" s="4">
        <f t="shared" si="107"/>
        <v>0.00248</v>
      </c>
      <c r="M139" s="72" t="s">
        <v>643</v>
      </c>
      <c r="P139" s="23">
        <f t="shared" si="108"/>
        <v>0</v>
      </c>
      <c r="R139" s="23">
        <f t="shared" si="109"/>
        <v>0</v>
      </c>
      <c r="S139" s="23">
        <f t="shared" si="110"/>
        <v>0</v>
      </c>
      <c r="T139" s="23">
        <f t="shared" si="111"/>
        <v>0</v>
      </c>
      <c r="U139" s="23">
        <f t="shared" si="112"/>
        <v>0</v>
      </c>
      <c r="V139" s="23">
        <f t="shared" si="113"/>
        <v>0</v>
      </c>
      <c r="W139" s="23">
        <f t="shared" si="114"/>
        <v>0</v>
      </c>
      <c r="X139" s="23">
        <f t="shared" si="115"/>
        <v>0</v>
      </c>
      <c r="Y139" s="67" t="s">
        <v>173</v>
      </c>
      <c r="Z139" s="4">
        <f t="shared" si="116"/>
        <v>0</v>
      </c>
      <c r="AA139" s="4">
        <f t="shared" si="117"/>
        <v>0</v>
      </c>
      <c r="AB139" s="4">
        <f t="shared" si="118"/>
        <v>0</v>
      </c>
      <c r="AD139" s="23">
        <v>21</v>
      </c>
      <c r="AE139" s="23">
        <f>G139*0.509137577002053</f>
        <v>0</v>
      </c>
      <c r="AF139" s="23">
        <f>G139*(1-0.509137577002053)</f>
        <v>0</v>
      </c>
      <c r="AG139" s="72" t="s">
        <v>13</v>
      </c>
      <c r="AM139" s="23">
        <f t="shared" si="119"/>
        <v>0</v>
      </c>
      <c r="AN139" s="23">
        <f t="shared" si="120"/>
        <v>0</v>
      </c>
      <c r="AO139" s="75" t="s">
        <v>679</v>
      </c>
      <c r="AP139" s="75" t="s">
        <v>698</v>
      </c>
      <c r="AQ139" s="67" t="s">
        <v>710</v>
      </c>
      <c r="AS139" s="23">
        <f t="shared" si="121"/>
        <v>0</v>
      </c>
      <c r="AT139" s="23">
        <f t="shared" si="122"/>
        <v>0</v>
      </c>
      <c r="AU139" s="23">
        <v>0</v>
      </c>
      <c r="AV139" s="23">
        <f t="shared" si="123"/>
        <v>0.00248</v>
      </c>
    </row>
    <row r="140" spans="1:48" ht="12.75">
      <c r="A140" s="1" t="s">
        <v>107</v>
      </c>
      <c r="B140" s="1" t="s">
        <v>173</v>
      </c>
      <c r="C140" s="1" t="s">
        <v>289</v>
      </c>
      <c r="D140" s="1" t="s">
        <v>477</v>
      </c>
      <c r="E140" s="1" t="s">
        <v>556</v>
      </c>
      <c r="F140" s="4">
        <f>'Rozpočet - vybrané sloupce'!BA139</f>
        <v>64.4</v>
      </c>
      <c r="G140" s="6">
        <f>'Rozpočet - vybrané sloupce'!BF139</f>
        <v>0</v>
      </c>
      <c r="H140" s="4">
        <f t="shared" si="104"/>
        <v>0</v>
      </c>
      <c r="I140" s="4">
        <f t="shared" si="105"/>
        <v>0</v>
      </c>
      <c r="J140" s="4">
        <f t="shared" si="106"/>
        <v>0</v>
      </c>
      <c r="K140" s="4">
        <v>1E-05</v>
      </c>
      <c r="L140" s="4">
        <f t="shared" si="107"/>
        <v>0.0006440000000000001</v>
      </c>
      <c r="M140" s="72" t="s">
        <v>643</v>
      </c>
      <c r="P140" s="23">
        <f t="shared" si="108"/>
        <v>0</v>
      </c>
      <c r="R140" s="23">
        <f t="shared" si="109"/>
        <v>0</v>
      </c>
      <c r="S140" s="23">
        <f t="shared" si="110"/>
        <v>0</v>
      </c>
      <c r="T140" s="23">
        <f t="shared" si="111"/>
        <v>0</v>
      </c>
      <c r="U140" s="23">
        <f t="shared" si="112"/>
        <v>0</v>
      </c>
      <c r="V140" s="23">
        <f t="shared" si="113"/>
        <v>0</v>
      </c>
      <c r="W140" s="23">
        <f t="shared" si="114"/>
        <v>0</v>
      </c>
      <c r="X140" s="23">
        <f t="shared" si="115"/>
        <v>0</v>
      </c>
      <c r="Y140" s="67" t="s">
        <v>173</v>
      </c>
      <c r="Z140" s="4">
        <f t="shared" si="116"/>
        <v>0</v>
      </c>
      <c r="AA140" s="4">
        <f t="shared" si="117"/>
        <v>0</v>
      </c>
      <c r="AB140" s="4">
        <f t="shared" si="118"/>
        <v>0</v>
      </c>
      <c r="AD140" s="23">
        <v>21</v>
      </c>
      <c r="AE140" s="23">
        <f>G140*0.0535067614027046</f>
        <v>0</v>
      </c>
      <c r="AF140" s="23">
        <f>G140*(1-0.0535067614027046)</f>
        <v>0</v>
      </c>
      <c r="AG140" s="72" t="s">
        <v>13</v>
      </c>
      <c r="AM140" s="23">
        <f t="shared" si="119"/>
        <v>0</v>
      </c>
      <c r="AN140" s="23">
        <f t="shared" si="120"/>
        <v>0</v>
      </c>
      <c r="AO140" s="75" t="s">
        <v>679</v>
      </c>
      <c r="AP140" s="75" t="s">
        <v>698</v>
      </c>
      <c r="AQ140" s="67" t="s">
        <v>710</v>
      </c>
      <c r="AS140" s="23">
        <f t="shared" si="121"/>
        <v>0</v>
      </c>
      <c r="AT140" s="23">
        <f t="shared" si="122"/>
        <v>0</v>
      </c>
      <c r="AU140" s="23">
        <v>0</v>
      </c>
      <c r="AV140" s="23">
        <f t="shared" si="123"/>
        <v>0.0006440000000000001</v>
      </c>
    </row>
    <row r="141" spans="1:48" ht="12.75">
      <c r="A141" s="1" t="s">
        <v>108</v>
      </c>
      <c r="B141" s="1" t="s">
        <v>173</v>
      </c>
      <c r="C141" s="1" t="s">
        <v>290</v>
      </c>
      <c r="D141" s="1" t="s">
        <v>478</v>
      </c>
      <c r="E141" s="1" t="s">
        <v>556</v>
      </c>
      <c r="F141" s="4">
        <f>'Rozpočet - vybrané sloupce'!BA140</f>
        <v>64.4</v>
      </c>
      <c r="G141" s="6">
        <f>'Rozpočet - vybrané sloupce'!BF140</f>
        <v>0</v>
      </c>
      <c r="H141" s="4">
        <f t="shared" si="104"/>
        <v>0</v>
      </c>
      <c r="I141" s="4">
        <f t="shared" si="105"/>
        <v>0</v>
      </c>
      <c r="J141" s="4">
        <f t="shared" si="106"/>
        <v>0</v>
      </c>
      <c r="K141" s="4">
        <v>0</v>
      </c>
      <c r="L141" s="4">
        <f t="shared" si="107"/>
        <v>0</v>
      </c>
      <c r="M141" s="72" t="s">
        <v>643</v>
      </c>
      <c r="P141" s="23">
        <f t="shared" si="108"/>
        <v>0</v>
      </c>
      <c r="R141" s="23">
        <f t="shared" si="109"/>
        <v>0</v>
      </c>
      <c r="S141" s="23">
        <f t="shared" si="110"/>
        <v>0</v>
      </c>
      <c r="T141" s="23">
        <f t="shared" si="111"/>
        <v>0</v>
      </c>
      <c r="U141" s="23">
        <f t="shared" si="112"/>
        <v>0</v>
      </c>
      <c r="V141" s="23">
        <f t="shared" si="113"/>
        <v>0</v>
      </c>
      <c r="W141" s="23">
        <f t="shared" si="114"/>
        <v>0</v>
      </c>
      <c r="X141" s="23">
        <f t="shared" si="115"/>
        <v>0</v>
      </c>
      <c r="Y141" s="67" t="s">
        <v>173</v>
      </c>
      <c r="Z141" s="4">
        <f t="shared" si="116"/>
        <v>0</v>
      </c>
      <c r="AA141" s="4">
        <f t="shared" si="117"/>
        <v>0</v>
      </c>
      <c r="AB141" s="4">
        <f t="shared" si="118"/>
        <v>0</v>
      </c>
      <c r="AD141" s="23">
        <v>21</v>
      </c>
      <c r="AE141" s="23">
        <f>G141*0.0160180030794741</f>
        <v>0</v>
      </c>
      <c r="AF141" s="23">
        <f>G141*(1-0.0160180030794741)</f>
        <v>0</v>
      </c>
      <c r="AG141" s="72" t="s">
        <v>13</v>
      </c>
      <c r="AM141" s="23">
        <f t="shared" si="119"/>
        <v>0</v>
      </c>
      <c r="AN141" s="23">
        <f t="shared" si="120"/>
        <v>0</v>
      </c>
      <c r="AO141" s="75" t="s">
        <v>679</v>
      </c>
      <c r="AP141" s="75" t="s">
        <v>698</v>
      </c>
      <c r="AQ141" s="67" t="s">
        <v>710</v>
      </c>
      <c r="AS141" s="23">
        <f t="shared" si="121"/>
        <v>0</v>
      </c>
      <c r="AT141" s="23">
        <f t="shared" si="122"/>
        <v>0</v>
      </c>
      <c r="AU141" s="23">
        <v>0</v>
      </c>
      <c r="AV141" s="23">
        <f t="shared" si="123"/>
        <v>0</v>
      </c>
    </row>
    <row r="142" spans="1:48" ht="12.75">
      <c r="A142" s="1" t="s">
        <v>109</v>
      </c>
      <c r="B142" s="1" t="s">
        <v>173</v>
      </c>
      <c r="C142" s="1" t="s">
        <v>291</v>
      </c>
      <c r="D142" s="1" t="s">
        <v>479</v>
      </c>
      <c r="E142" s="1" t="s">
        <v>553</v>
      </c>
      <c r="F142" s="4">
        <f>'Rozpočet - vybrané sloupce'!BA141</f>
        <v>0.04</v>
      </c>
      <c r="G142" s="6">
        <f>'Rozpočet - vybrané sloupce'!BF141</f>
        <v>0</v>
      </c>
      <c r="H142" s="4">
        <f t="shared" si="104"/>
        <v>0</v>
      </c>
      <c r="I142" s="4">
        <f t="shared" si="105"/>
        <v>0</v>
      </c>
      <c r="J142" s="4">
        <f t="shared" si="106"/>
        <v>0</v>
      </c>
      <c r="K142" s="4">
        <v>0</v>
      </c>
      <c r="L142" s="4">
        <f t="shared" si="107"/>
        <v>0</v>
      </c>
      <c r="M142" s="72" t="s">
        <v>643</v>
      </c>
      <c r="P142" s="23">
        <f t="shared" si="108"/>
        <v>0</v>
      </c>
      <c r="R142" s="23">
        <f t="shared" si="109"/>
        <v>0</v>
      </c>
      <c r="S142" s="23">
        <f t="shared" si="110"/>
        <v>0</v>
      </c>
      <c r="T142" s="23">
        <f t="shared" si="111"/>
        <v>0</v>
      </c>
      <c r="U142" s="23">
        <f t="shared" si="112"/>
        <v>0</v>
      </c>
      <c r="V142" s="23">
        <f t="shared" si="113"/>
        <v>0</v>
      </c>
      <c r="W142" s="23">
        <f t="shared" si="114"/>
        <v>0</v>
      </c>
      <c r="X142" s="23">
        <f t="shared" si="115"/>
        <v>0</v>
      </c>
      <c r="Y142" s="67" t="s">
        <v>173</v>
      </c>
      <c r="Z142" s="4">
        <f t="shared" si="116"/>
        <v>0</v>
      </c>
      <c r="AA142" s="4">
        <f t="shared" si="117"/>
        <v>0</v>
      </c>
      <c r="AB142" s="4">
        <f t="shared" si="118"/>
        <v>0</v>
      </c>
      <c r="AD142" s="23">
        <v>21</v>
      </c>
      <c r="AE142" s="23">
        <f>G142*0</f>
        <v>0</v>
      </c>
      <c r="AF142" s="23">
        <f>G142*(1-0)</f>
        <v>0</v>
      </c>
      <c r="AG142" s="72" t="s">
        <v>11</v>
      </c>
      <c r="AM142" s="23">
        <f t="shared" si="119"/>
        <v>0</v>
      </c>
      <c r="AN142" s="23">
        <f t="shared" si="120"/>
        <v>0</v>
      </c>
      <c r="AO142" s="75" t="s">
        <v>679</v>
      </c>
      <c r="AP142" s="75" t="s">
        <v>698</v>
      </c>
      <c r="AQ142" s="67" t="s">
        <v>710</v>
      </c>
      <c r="AS142" s="23">
        <f t="shared" si="121"/>
        <v>0</v>
      </c>
      <c r="AT142" s="23">
        <f t="shared" si="122"/>
        <v>0</v>
      </c>
      <c r="AU142" s="23">
        <v>0</v>
      </c>
      <c r="AV142" s="23">
        <f t="shared" si="123"/>
        <v>0</v>
      </c>
    </row>
    <row r="143" spans="1:48" ht="12.75">
      <c r="A143" s="1" t="s">
        <v>110</v>
      </c>
      <c r="B143" s="1" t="s">
        <v>173</v>
      </c>
      <c r="C143" s="1" t="s">
        <v>292</v>
      </c>
      <c r="D143" s="1" t="s">
        <v>480</v>
      </c>
      <c r="E143" s="1" t="s">
        <v>558</v>
      </c>
      <c r="F143" s="4">
        <f>'Rozpočet - vybrané sloupce'!BA142</f>
        <v>1</v>
      </c>
      <c r="G143" s="6">
        <f>'Rozpočet - vybrané sloupce'!BF142</f>
        <v>0</v>
      </c>
      <c r="H143" s="4">
        <f t="shared" si="104"/>
        <v>0</v>
      </c>
      <c r="I143" s="4">
        <f t="shared" si="105"/>
        <v>0</v>
      </c>
      <c r="J143" s="4">
        <f t="shared" si="106"/>
        <v>0</v>
      </c>
      <c r="K143" s="4">
        <v>0</v>
      </c>
      <c r="L143" s="4">
        <f t="shared" si="107"/>
        <v>0</v>
      </c>
      <c r="M143" s="72" t="s">
        <v>643</v>
      </c>
      <c r="P143" s="23">
        <f t="shared" si="108"/>
        <v>0</v>
      </c>
      <c r="R143" s="23">
        <f t="shared" si="109"/>
        <v>0</v>
      </c>
      <c r="S143" s="23">
        <f t="shared" si="110"/>
        <v>0</v>
      </c>
      <c r="T143" s="23">
        <f t="shared" si="111"/>
        <v>0</v>
      </c>
      <c r="U143" s="23">
        <f t="shared" si="112"/>
        <v>0</v>
      </c>
      <c r="V143" s="23">
        <f t="shared" si="113"/>
        <v>0</v>
      </c>
      <c r="W143" s="23">
        <f t="shared" si="114"/>
        <v>0</v>
      </c>
      <c r="X143" s="23">
        <f t="shared" si="115"/>
        <v>0</v>
      </c>
      <c r="Y143" s="67" t="s">
        <v>173</v>
      </c>
      <c r="Z143" s="4">
        <f t="shared" si="116"/>
        <v>0</v>
      </c>
      <c r="AA143" s="4">
        <f t="shared" si="117"/>
        <v>0</v>
      </c>
      <c r="AB143" s="4">
        <f t="shared" si="118"/>
        <v>0</v>
      </c>
      <c r="AD143" s="23">
        <v>21</v>
      </c>
      <c r="AE143" s="23">
        <f>G143*0.875444839857651</f>
        <v>0</v>
      </c>
      <c r="AF143" s="23">
        <f>G143*(1-0.875444839857651)</f>
        <v>0</v>
      </c>
      <c r="AG143" s="72" t="s">
        <v>13</v>
      </c>
      <c r="AM143" s="23">
        <f t="shared" si="119"/>
        <v>0</v>
      </c>
      <c r="AN143" s="23">
        <f t="shared" si="120"/>
        <v>0</v>
      </c>
      <c r="AO143" s="75" t="s">
        <v>679</v>
      </c>
      <c r="AP143" s="75" t="s">
        <v>698</v>
      </c>
      <c r="AQ143" s="67" t="s">
        <v>710</v>
      </c>
      <c r="AS143" s="23">
        <f t="shared" si="121"/>
        <v>0</v>
      </c>
      <c r="AT143" s="23">
        <f t="shared" si="122"/>
        <v>0</v>
      </c>
      <c r="AU143" s="23">
        <v>0</v>
      </c>
      <c r="AV143" s="23">
        <f t="shared" si="123"/>
        <v>0</v>
      </c>
    </row>
    <row r="144" spans="1:48" ht="12.75">
      <c r="A144" s="1" t="s">
        <v>111</v>
      </c>
      <c r="B144" s="1" t="s">
        <v>173</v>
      </c>
      <c r="C144" s="1" t="s">
        <v>293</v>
      </c>
      <c r="D144" s="1" t="s">
        <v>481</v>
      </c>
      <c r="E144" s="1" t="s">
        <v>557</v>
      </c>
      <c r="F144" s="4">
        <f>'Rozpočet - vybrané sloupce'!BA143</f>
        <v>1</v>
      </c>
      <c r="G144" s="6">
        <f>'Rozpočet - vybrané sloupce'!BF143</f>
        <v>0</v>
      </c>
      <c r="H144" s="4">
        <f t="shared" si="104"/>
        <v>0</v>
      </c>
      <c r="I144" s="4">
        <f t="shared" si="105"/>
        <v>0</v>
      </c>
      <c r="J144" s="4">
        <f t="shared" si="106"/>
        <v>0</v>
      </c>
      <c r="K144" s="4">
        <v>0</v>
      </c>
      <c r="L144" s="4">
        <f t="shared" si="107"/>
        <v>0</v>
      </c>
      <c r="M144" s="72" t="s">
        <v>643</v>
      </c>
      <c r="P144" s="23">
        <f t="shared" si="108"/>
        <v>0</v>
      </c>
      <c r="R144" s="23">
        <f t="shared" si="109"/>
        <v>0</v>
      </c>
      <c r="S144" s="23">
        <f t="shared" si="110"/>
        <v>0</v>
      </c>
      <c r="T144" s="23">
        <f t="shared" si="111"/>
        <v>0</v>
      </c>
      <c r="U144" s="23">
        <f t="shared" si="112"/>
        <v>0</v>
      </c>
      <c r="V144" s="23">
        <f t="shared" si="113"/>
        <v>0</v>
      </c>
      <c r="W144" s="23">
        <f t="shared" si="114"/>
        <v>0</v>
      </c>
      <c r="X144" s="23">
        <f t="shared" si="115"/>
        <v>0</v>
      </c>
      <c r="Y144" s="67" t="s">
        <v>173</v>
      </c>
      <c r="Z144" s="4">
        <f t="shared" si="116"/>
        <v>0</v>
      </c>
      <c r="AA144" s="4">
        <f t="shared" si="117"/>
        <v>0</v>
      </c>
      <c r="AB144" s="4">
        <f t="shared" si="118"/>
        <v>0</v>
      </c>
      <c r="AD144" s="23">
        <v>21</v>
      </c>
      <c r="AE144" s="23">
        <f>G144*0.851648351648352</f>
        <v>0</v>
      </c>
      <c r="AF144" s="23">
        <f>G144*(1-0.851648351648352)</f>
        <v>0</v>
      </c>
      <c r="AG144" s="72" t="s">
        <v>13</v>
      </c>
      <c r="AM144" s="23">
        <f t="shared" si="119"/>
        <v>0</v>
      </c>
      <c r="AN144" s="23">
        <f t="shared" si="120"/>
        <v>0</v>
      </c>
      <c r="AO144" s="75" t="s">
        <v>679</v>
      </c>
      <c r="AP144" s="75" t="s">
        <v>698</v>
      </c>
      <c r="AQ144" s="67" t="s">
        <v>710</v>
      </c>
      <c r="AS144" s="23">
        <f t="shared" si="121"/>
        <v>0</v>
      </c>
      <c r="AT144" s="23">
        <f t="shared" si="122"/>
        <v>0</v>
      </c>
      <c r="AU144" s="23">
        <v>0</v>
      </c>
      <c r="AV144" s="23">
        <f t="shared" si="123"/>
        <v>0</v>
      </c>
    </row>
    <row r="145" spans="1:48" ht="12.75">
      <c r="A145" s="1" t="s">
        <v>112</v>
      </c>
      <c r="B145" s="1" t="s">
        <v>173</v>
      </c>
      <c r="C145" s="1" t="s">
        <v>294</v>
      </c>
      <c r="D145" s="1" t="s">
        <v>482</v>
      </c>
      <c r="E145" s="1" t="s">
        <v>557</v>
      </c>
      <c r="F145" s="4">
        <f>'Rozpočet - vybrané sloupce'!BA144</f>
        <v>1</v>
      </c>
      <c r="G145" s="6">
        <f>'Rozpočet - vybrané sloupce'!BF144</f>
        <v>0</v>
      </c>
      <c r="H145" s="4">
        <f t="shared" si="104"/>
        <v>0</v>
      </c>
      <c r="I145" s="4">
        <f t="shared" si="105"/>
        <v>0</v>
      </c>
      <c r="J145" s="4">
        <f t="shared" si="106"/>
        <v>0</v>
      </c>
      <c r="K145" s="4">
        <v>0</v>
      </c>
      <c r="L145" s="4">
        <f t="shared" si="107"/>
        <v>0</v>
      </c>
      <c r="M145" s="72" t="s">
        <v>643</v>
      </c>
      <c r="P145" s="23">
        <f t="shared" si="108"/>
        <v>0</v>
      </c>
      <c r="R145" s="23">
        <f t="shared" si="109"/>
        <v>0</v>
      </c>
      <c r="S145" s="23">
        <f t="shared" si="110"/>
        <v>0</v>
      </c>
      <c r="T145" s="23">
        <f t="shared" si="111"/>
        <v>0</v>
      </c>
      <c r="U145" s="23">
        <f t="shared" si="112"/>
        <v>0</v>
      </c>
      <c r="V145" s="23">
        <f t="shared" si="113"/>
        <v>0</v>
      </c>
      <c r="W145" s="23">
        <f t="shared" si="114"/>
        <v>0</v>
      </c>
      <c r="X145" s="23">
        <f t="shared" si="115"/>
        <v>0</v>
      </c>
      <c r="Y145" s="67" t="s">
        <v>173</v>
      </c>
      <c r="Z145" s="4">
        <f t="shared" si="116"/>
        <v>0</v>
      </c>
      <c r="AA145" s="4">
        <f t="shared" si="117"/>
        <v>0</v>
      </c>
      <c r="AB145" s="4">
        <f t="shared" si="118"/>
        <v>0</v>
      </c>
      <c r="AD145" s="23">
        <v>21</v>
      </c>
      <c r="AE145" s="23">
        <f>G145*0.834437086092715</f>
        <v>0</v>
      </c>
      <c r="AF145" s="23">
        <f>G145*(1-0.834437086092715)</f>
        <v>0</v>
      </c>
      <c r="AG145" s="72" t="s">
        <v>13</v>
      </c>
      <c r="AM145" s="23">
        <f t="shared" si="119"/>
        <v>0</v>
      </c>
      <c r="AN145" s="23">
        <f t="shared" si="120"/>
        <v>0</v>
      </c>
      <c r="AO145" s="75" t="s">
        <v>679</v>
      </c>
      <c r="AP145" s="75" t="s">
        <v>698</v>
      </c>
      <c r="AQ145" s="67" t="s">
        <v>710</v>
      </c>
      <c r="AS145" s="23">
        <f t="shared" si="121"/>
        <v>0</v>
      </c>
      <c r="AT145" s="23">
        <f t="shared" si="122"/>
        <v>0</v>
      </c>
      <c r="AU145" s="23">
        <v>0</v>
      </c>
      <c r="AV145" s="23">
        <f t="shared" si="123"/>
        <v>0</v>
      </c>
    </row>
    <row r="146" spans="1:37" ht="12.75">
      <c r="A146" s="52"/>
      <c r="B146" s="58" t="s">
        <v>173</v>
      </c>
      <c r="C146" s="58" t="s">
        <v>295</v>
      </c>
      <c r="D146" s="58" t="s">
        <v>483</v>
      </c>
      <c r="E146" s="52" t="s">
        <v>6</v>
      </c>
      <c r="F146" s="52" t="s">
        <v>6</v>
      </c>
      <c r="G146" s="64" t="s">
        <v>6</v>
      </c>
      <c r="H146" s="9">
        <f>SUM(H147:H155)</f>
        <v>0</v>
      </c>
      <c r="I146" s="9">
        <f>SUM(I147:I155)</f>
        <v>0</v>
      </c>
      <c r="J146" s="9">
        <f>H146+I146</f>
        <v>0</v>
      </c>
      <c r="K146" s="67"/>
      <c r="L146" s="9">
        <f>SUM(L147:L155)</f>
        <v>0.11198999999999999</v>
      </c>
      <c r="M146" s="67"/>
      <c r="Y146" s="67" t="s">
        <v>173</v>
      </c>
      <c r="AI146" s="9">
        <f>SUM(Z147:Z155)</f>
        <v>0</v>
      </c>
      <c r="AJ146" s="9">
        <f>SUM(AA147:AA155)</f>
        <v>0</v>
      </c>
      <c r="AK146" s="9">
        <f>SUM(AB147:AB155)</f>
        <v>0</v>
      </c>
    </row>
    <row r="147" spans="1:48" ht="12.75">
      <c r="A147" s="1" t="s">
        <v>113</v>
      </c>
      <c r="B147" s="1" t="s">
        <v>173</v>
      </c>
      <c r="C147" s="1" t="s">
        <v>296</v>
      </c>
      <c r="D147" s="1" t="s">
        <v>484</v>
      </c>
      <c r="E147" s="1" t="s">
        <v>555</v>
      </c>
      <c r="F147" s="4">
        <f>'Rozpočet - vybrané sloupce'!BA146</f>
        <v>3</v>
      </c>
      <c r="G147" s="6">
        <f>'Rozpočet - vybrané sloupce'!BF146</f>
        <v>0</v>
      </c>
      <c r="H147" s="4">
        <f aca="true" t="shared" si="124" ref="H147:H155">F147*AE147</f>
        <v>0</v>
      </c>
      <c r="I147" s="4">
        <f aca="true" t="shared" si="125" ref="I147:I155">J147-H147</f>
        <v>0</v>
      </c>
      <c r="J147" s="4">
        <f aca="true" t="shared" si="126" ref="J147:J155">F147*G147</f>
        <v>0</v>
      </c>
      <c r="K147" s="4">
        <v>0.00085</v>
      </c>
      <c r="L147" s="4">
        <f aca="true" t="shared" si="127" ref="L147:L155">F147*K147</f>
        <v>0.0025499999999999997</v>
      </c>
      <c r="M147" s="72" t="s">
        <v>643</v>
      </c>
      <c r="P147" s="23">
        <f aca="true" t="shared" si="128" ref="P147:P155">IF(AG147="5",J147,0)</f>
        <v>0</v>
      </c>
      <c r="R147" s="23">
        <f aca="true" t="shared" si="129" ref="R147:R155">IF(AG147="1",H147,0)</f>
        <v>0</v>
      </c>
      <c r="S147" s="23">
        <f aca="true" t="shared" si="130" ref="S147:S155">IF(AG147="1",I147,0)</f>
        <v>0</v>
      </c>
      <c r="T147" s="23">
        <f aca="true" t="shared" si="131" ref="T147:T155">IF(AG147="7",H147,0)</f>
        <v>0</v>
      </c>
      <c r="U147" s="23">
        <f aca="true" t="shared" si="132" ref="U147:U155">IF(AG147="7",I147,0)</f>
        <v>0</v>
      </c>
      <c r="V147" s="23">
        <f aca="true" t="shared" si="133" ref="V147:V155">IF(AG147="2",H147,0)</f>
        <v>0</v>
      </c>
      <c r="W147" s="23">
        <f aca="true" t="shared" si="134" ref="W147:W155">IF(AG147="2",I147,0)</f>
        <v>0</v>
      </c>
      <c r="X147" s="23">
        <f aca="true" t="shared" si="135" ref="X147:X155">IF(AG147="0",J147,0)</f>
        <v>0</v>
      </c>
      <c r="Y147" s="67" t="s">
        <v>173</v>
      </c>
      <c r="Z147" s="4">
        <f aca="true" t="shared" si="136" ref="Z147:Z155">IF(AD147=0,J147,0)</f>
        <v>0</v>
      </c>
      <c r="AA147" s="4">
        <f aca="true" t="shared" si="137" ref="AA147:AA155">IF(AD147=15,J147,0)</f>
        <v>0</v>
      </c>
      <c r="AB147" s="4">
        <f aca="true" t="shared" si="138" ref="AB147:AB155">IF(AD147=21,J147,0)</f>
        <v>0</v>
      </c>
      <c r="AD147" s="23">
        <v>21</v>
      </c>
      <c r="AE147" s="23">
        <f>G147*0.903389423076923</f>
        <v>0</v>
      </c>
      <c r="AF147" s="23">
        <f>G147*(1-0.903389423076923)</f>
        <v>0</v>
      </c>
      <c r="AG147" s="72" t="s">
        <v>13</v>
      </c>
      <c r="AM147" s="23">
        <f aca="true" t="shared" si="139" ref="AM147:AM155">F147*AE147</f>
        <v>0</v>
      </c>
      <c r="AN147" s="23">
        <f aca="true" t="shared" si="140" ref="AN147:AN155">F147*AF147</f>
        <v>0</v>
      </c>
      <c r="AO147" s="75" t="s">
        <v>680</v>
      </c>
      <c r="AP147" s="75" t="s">
        <v>698</v>
      </c>
      <c r="AQ147" s="67" t="s">
        <v>710</v>
      </c>
      <c r="AS147" s="23">
        <f aca="true" t="shared" si="141" ref="AS147:AS155">AM147+AN147</f>
        <v>0</v>
      </c>
      <c r="AT147" s="23">
        <f aca="true" t="shared" si="142" ref="AT147:AT155">G147/(100-AU147)*100</f>
        <v>0</v>
      </c>
      <c r="AU147" s="23">
        <v>0</v>
      </c>
      <c r="AV147" s="23">
        <f aca="true" t="shared" si="143" ref="AV147:AV155">L147</f>
        <v>0.0025499999999999997</v>
      </c>
    </row>
    <row r="148" spans="1:48" ht="12.75">
      <c r="A148" s="1" t="s">
        <v>114</v>
      </c>
      <c r="B148" s="1" t="s">
        <v>173</v>
      </c>
      <c r="C148" s="1" t="s">
        <v>297</v>
      </c>
      <c r="D148" s="1" t="s">
        <v>485</v>
      </c>
      <c r="E148" s="1" t="s">
        <v>560</v>
      </c>
      <c r="F148" s="4">
        <f>'Rozpočet - vybrané sloupce'!BA147</f>
        <v>3</v>
      </c>
      <c r="G148" s="6">
        <f>'Rozpočet - vybrané sloupce'!BF147</f>
        <v>0</v>
      </c>
      <c r="H148" s="4">
        <f t="shared" si="124"/>
        <v>0</v>
      </c>
      <c r="I148" s="4">
        <f t="shared" si="125"/>
        <v>0</v>
      </c>
      <c r="J148" s="4">
        <f t="shared" si="126"/>
        <v>0</v>
      </c>
      <c r="K148" s="4">
        <v>0.01401</v>
      </c>
      <c r="L148" s="4">
        <f t="shared" si="127"/>
        <v>0.04203</v>
      </c>
      <c r="M148" s="72" t="s">
        <v>643</v>
      </c>
      <c r="P148" s="23">
        <f t="shared" si="128"/>
        <v>0</v>
      </c>
      <c r="R148" s="23">
        <f t="shared" si="129"/>
        <v>0</v>
      </c>
      <c r="S148" s="23">
        <f t="shared" si="130"/>
        <v>0</v>
      </c>
      <c r="T148" s="23">
        <f t="shared" si="131"/>
        <v>0</v>
      </c>
      <c r="U148" s="23">
        <f t="shared" si="132"/>
        <v>0</v>
      </c>
      <c r="V148" s="23">
        <f t="shared" si="133"/>
        <v>0</v>
      </c>
      <c r="W148" s="23">
        <f t="shared" si="134"/>
        <v>0</v>
      </c>
      <c r="X148" s="23">
        <f t="shared" si="135"/>
        <v>0</v>
      </c>
      <c r="Y148" s="67" t="s">
        <v>173</v>
      </c>
      <c r="Z148" s="4">
        <f t="shared" si="136"/>
        <v>0</v>
      </c>
      <c r="AA148" s="4">
        <f t="shared" si="137"/>
        <v>0</v>
      </c>
      <c r="AB148" s="4">
        <f t="shared" si="138"/>
        <v>0</v>
      </c>
      <c r="AD148" s="23">
        <v>21</v>
      </c>
      <c r="AE148" s="23">
        <f>G148*0.688994318181818</f>
        <v>0</v>
      </c>
      <c r="AF148" s="23">
        <f>G148*(1-0.688994318181818)</f>
        <v>0</v>
      </c>
      <c r="AG148" s="72" t="s">
        <v>13</v>
      </c>
      <c r="AM148" s="23">
        <f t="shared" si="139"/>
        <v>0</v>
      </c>
      <c r="AN148" s="23">
        <f t="shared" si="140"/>
        <v>0</v>
      </c>
      <c r="AO148" s="75" t="s">
        <v>680</v>
      </c>
      <c r="AP148" s="75" t="s">
        <v>698</v>
      </c>
      <c r="AQ148" s="67" t="s">
        <v>710</v>
      </c>
      <c r="AS148" s="23">
        <f t="shared" si="141"/>
        <v>0</v>
      </c>
      <c r="AT148" s="23">
        <f t="shared" si="142"/>
        <v>0</v>
      </c>
      <c r="AU148" s="23">
        <v>0</v>
      </c>
      <c r="AV148" s="23">
        <f t="shared" si="143"/>
        <v>0.04203</v>
      </c>
    </row>
    <row r="149" spans="1:48" ht="12.75">
      <c r="A149" s="1" t="s">
        <v>115</v>
      </c>
      <c r="B149" s="1" t="s">
        <v>173</v>
      </c>
      <c r="C149" s="1" t="s">
        <v>298</v>
      </c>
      <c r="D149" s="1" t="s">
        <v>486</v>
      </c>
      <c r="E149" s="1" t="s">
        <v>560</v>
      </c>
      <c r="F149" s="4">
        <f>'Rozpočet - vybrané sloupce'!BA148</f>
        <v>3</v>
      </c>
      <c r="G149" s="6">
        <f>'Rozpočet - vybrané sloupce'!BF148</f>
        <v>0</v>
      </c>
      <c r="H149" s="4">
        <f t="shared" si="124"/>
        <v>0</v>
      </c>
      <c r="I149" s="4">
        <f t="shared" si="125"/>
        <v>0</v>
      </c>
      <c r="J149" s="4">
        <f t="shared" si="126"/>
        <v>0</v>
      </c>
      <c r="K149" s="4">
        <v>0.01672</v>
      </c>
      <c r="L149" s="4">
        <f t="shared" si="127"/>
        <v>0.050159999999999996</v>
      </c>
      <c r="M149" s="72" t="s">
        <v>643</v>
      </c>
      <c r="P149" s="23">
        <f t="shared" si="128"/>
        <v>0</v>
      </c>
      <c r="R149" s="23">
        <f t="shared" si="129"/>
        <v>0</v>
      </c>
      <c r="S149" s="23">
        <f t="shared" si="130"/>
        <v>0</v>
      </c>
      <c r="T149" s="23">
        <f t="shared" si="131"/>
        <v>0</v>
      </c>
      <c r="U149" s="23">
        <f t="shared" si="132"/>
        <v>0</v>
      </c>
      <c r="V149" s="23">
        <f t="shared" si="133"/>
        <v>0</v>
      </c>
      <c r="W149" s="23">
        <f t="shared" si="134"/>
        <v>0</v>
      </c>
      <c r="X149" s="23">
        <f t="shared" si="135"/>
        <v>0</v>
      </c>
      <c r="Y149" s="67" t="s">
        <v>173</v>
      </c>
      <c r="Z149" s="4">
        <f t="shared" si="136"/>
        <v>0</v>
      </c>
      <c r="AA149" s="4">
        <f t="shared" si="137"/>
        <v>0</v>
      </c>
      <c r="AB149" s="4">
        <f t="shared" si="138"/>
        <v>0</v>
      </c>
      <c r="AD149" s="23">
        <v>21</v>
      </c>
      <c r="AE149" s="23">
        <f>G149*0.892453781512605</f>
        <v>0</v>
      </c>
      <c r="AF149" s="23">
        <f>G149*(1-0.892453781512605)</f>
        <v>0</v>
      </c>
      <c r="AG149" s="72" t="s">
        <v>13</v>
      </c>
      <c r="AM149" s="23">
        <f t="shared" si="139"/>
        <v>0</v>
      </c>
      <c r="AN149" s="23">
        <f t="shared" si="140"/>
        <v>0</v>
      </c>
      <c r="AO149" s="75" t="s">
        <v>680</v>
      </c>
      <c r="AP149" s="75" t="s">
        <v>698</v>
      </c>
      <c r="AQ149" s="67" t="s">
        <v>710</v>
      </c>
      <c r="AS149" s="23">
        <f t="shared" si="141"/>
        <v>0</v>
      </c>
      <c r="AT149" s="23">
        <f t="shared" si="142"/>
        <v>0</v>
      </c>
      <c r="AU149" s="23">
        <v>0</v>
      </c>
      <c r="AV149" s="23">
        <f t="shared" si="143"/>
        <v>0.050159999999999996</v>
      </c>
    </row>
    <row r="150" spans="1:48" ht="12.75">
      <c r="A150" s="1" t="s">
        <v>116</v>
      </c>
      <c r="B150" s="1" t="s">
        <v>173</v>
      </c>
      <c r="C150" s="1" t="s">
        <v>299</v>
      </c>
      <c r="D150" s="1" t="s">
        <v>487</v>
      </c>
      <c r="E150" s="1" t="s">
        <v>560</v>
      </c>
      <c r="F150" s="4">
        <f>'Rozpočet - vybrané sloupce'!BA149</f>
        <v>1</v>
      </c>
      <c r="G150" s="6">
        <f>'Rozpočet - vybrané sloupce'!BF149</f>
        <v>0</v>
      </c>
      <c r="H150" s="4">
        <f t="shared" si="124"/>
        <v>0</v>
      </c>
      <c r="I150" s="4">
        <f t="shared" si="125"/>
        <v>0</v>
      </c>
      <c r="J150" s="4">
        <f t="shared" si="126"/>
        <v>0</v>
      </c>
      <c r="K150" s="4">
        <v>0.0109</v>
      </c>
      <c r="L150" s="4">
        <f t="shared" si="127"/>
        <v>0.0109</v>
      </c>
      <c r="M150" s="72" t="s">
        <v>643</v>
      </c>
      <c r="P150" s="23">
        <f t="shared" si="128"/>
        <v>0</v>
      </c>
      <c r="R150" s="23">
        <f t="shared" si="129"/>
        <v>0</v>
      </c>
      <c r="S150" s="23">
        <f t="shared" si="130"/>
        <v>0</v>
      </c>
      <c r="T150" s="23">
        <f t="shared" si="131"/>
        <v>0</v>
      </c>
      <c r="U150" s="23">
        <f t="shared" si="132"/>
        <v>0</v>
      </c>
      <c r="V150" s="23">
        <f t="shared" si="133"/>
        <v>0</v>
      </c>
      <c r="W150" s="23">
        <f t="shared" si="134"/>
        <v>0</v>
      </c>
      <c r="X150" s="23">
        <f t="shared" si="135"/>
        <v>0</v>
      </c>
      <c r="Y150" s="67" t="s">
        <v>173</v>
      </c>
      <c r="Z150" s="4">
        <f t="shared" si="136"/>
        <v>0</v>
      </c>
      <c r="AA150" s="4">
        <f t="shared" si="137"/>
        <v>0</v>
      </c>
      <c r="AB150" s="4">
        <f t="shared" si="138"/>
        <v>0</v>
      </c>
      <c r="AD150" s="23">
        <v>21</v>
      </c>
      <c r="AE150" s="23">
        <f>G150*0.890494766888677</f>
        <v>0</v>
      </c>
      <c r="AF150" s="23">
        <f>G150*(1-0.890494766888677)</f>
        <v>0</v>
      </c>
      <c r="AG150" s="72" t="s">
        <v>13</v>
      </c>
      <c r="AM150" s="23">
        <f t="shared" si="139"/>
        <v>0</v>
      </c>
      <c r="AN150" s="23">
        <f t="shared" si="140"/>
        <v>0</v>
      </c>
      <c r="AO150" s="75" t="s">
        <v>680</v>
      </c>
      <c r="AP150" s="75" t="s">
        <v>698</v>
      </c>
      <c r="AQ150" s="67" t="s">
        <v>710</v>
      </c>
      <c r="AS150" s="23">
        <f t="shared" si="141"/>
        <v>0</v>
      </c>
      <c r="AT150" s="23">
        <f t="shared" si="142"/>
        <v>0</v>
      </c>
      <c r="AU150" s="23">
        <v>0</v>
      </c>
      <c r="AV150" s="23">
        <f t="shared" si="143"/>
        <v>0.0109</v>
      </c>
    </row>
    <row r="151" spans="1:48" ht="12.75">
      <c r="A151" s="1" t="s">
        <v>117</v>
      </c>
      <c r="B151" s="1" t="s">
        <v>173</v>
      </c>
      <c r="C151" s="1" t="s">
        <v>300</v>
      </c>
      <c r="D151" s="1" t="s">
        <v>488</v>
      </c>
      <c r="E151" s="1" t="s">
        <v>555</v>
      </c>
      <c r="F151" s="4">
        <f>'Rozpočet - vybrané sloupce'!BA150</f>
        <v>2</v>
      </c>
      <c r="G151" s="6">
        <f>'Rozpočet - vybrané sloupce'!BF150</f>
        <v>0</v>
      </c>
      <c r="H151" s="4">
        <f t="shared" si="124"/>
        <v>0</v>
      </c>
      <c r="I151" s="4">
        <f t="shared" si="125"/>
        <v>0</v>
      </c>
      <c r="J151" s="4">
        <f t="shared" si="126"/>
        <v>0</v>
      </c>
      <c r="K151" s="4">
        <v>0.00152</v>
      </c>
      <c r="L151" s="4">
        <f t="shared" si="127"/>
        <v>0.00304</v>
      </c>
      <c r="M151" s="72" t="s">
        <v>643</v>
      </c>
      <c r="P151" s="23">
        <f t="shared" si="128"/>
        <v>0</v>
      </c>
      <c r="R151" s="23">
        <f t="shared" si="129"/>
        <v>0</v>
      </c>
      <c r="S151" s="23">
        <f t="shared" si="130"/>
        <v>0</v>
      </c>
      <c r="T151" s="23">
        <f t="shared" si="131"/>
        <v>0</v>
      </c>
      <c r="U151" s="23">
        <f t="shared" si="132"/>
        <v>0</v>
      </c>
      <c r="V151" s="23">
        <f t="shared" si="133"/>
        <v>0</v>
      </c>
      <c r="W151" s="23">
        <f t="shared" si="134"/>
        <v>0</v>
      </c>
      <c r="X151" s="23">
        <f t="shared" si="135"/>
        <v>0</v>
      </c>
      <c r="Y151" s="67" t="s">
        <v>173</v>
      </c>
      <c r="Z151" s="4">
        <f t="shared" si="136"/>
        <v>0</v>
      </c>
      <c r="AA151" s="4">
        <f t="shared" si="137"/>
        <v>0</v>
      </c>
      <c r="AB151" s="4">
        <f t="shared" si="138"/>
        <v>0</v>
      </c>
      <c r="AD151" s="23">
        <v>21</v>
      </c>
      <c r="AE151" s="23">
        <f>G151*0.865257617728532</f>
        <v>0</v>
      </c>
      <c r="AF151" s="23">
        <f>G151*(1-0.865257617728532)</f>
        <v>0</v>
      </c>
      <c r="AG151" s="72" t="s">
        <v>13</v>
      </c>
      <c r="AM151" s="23">
        <f t="shared" si="139"/>
        <v>0</v>
      </c>
      <c r="AN151" s="23">
        <f t="shared" si="140"/>
        <v>0</v>
      </c>
      <c r="AO151" s="75" t="s">
        <v>680</v>
      </c>
      <c r="AP151" s="75" t="s">
        <v>698</v>
      </c>
      <c r="AQ151" s="67" t="s">
        <v>710</v>
      </c>
      <c r="AS151" s="23">
        <f t="shared" si="141"/>
        <v>0</v>
      </c>
      <c r="AT151" s="23">
        <f t="shared" si="142"/>
        <v>0</v>
      </c>
      <c r="AU151" s="23">
        <v>0</v>
      </c>
      <c r="AV151" s="23">
        <f t="shared" si="143"/>
        <v>0.00304</v>
      </c>
    </row>
    <row r="152" spans="1:48" ht="12.75">
      <c r="A152" s="1" t="s">
        <v>118</v>
      </c>
      <c r="B152" s="1" t="s">
        <v>173</v>
      </c>
      <c r="C152" s="1" t="s">
        <v>301</v>
      </c>
      <c r="D152" s="1" t="s">
        <v>489</v>
      </c>
      <c r="E152" s="1" t="s">
        <v>555</v>
      </c>
      <c r="F152" s="4">
        <f>'Rozpočet - vybrané sloupce'!BA151</f>
        <v>1</v>
      </c>
      <c r="G152" s="6">
        <f>'Rozpočet - vybrané sloupce'!BF151</f>
        <v>0</v>
      </c>
      <c r="H152" s="4">
        <f t="shared" si="124"/>
        <v>0</v>
      </c>
      <c r="I152" s="4">
        <f t="shared" si="125"/>
        <v>0</v>
      </c>
      <c r="J152" s="4">
        <f t="shared" si="126"/>
        <v>0</v>
      </c>
      <c r="K152" s="4">
        <v>0.00164</v>
      </c>
      <c r="L152" s="4">
        <f t="shared" si="127"/>
        <v>0.00164</v>
      </c>
      <c r="M152" s="72" t="s">
        <v>643</v>
      </c>
      <c r="P152" s="23">
        <f t="shared" si="128"/>
        <v>0</v>
      </c>
      <c r="R152" s="23">
        <f t="shared" si="129"/>
        <v>0</v>
      </c>
      <c r="S152" s="23">
        <f t="shared" si="130"/>
        <v>0</v>
      </c>
      <c r="T152" s="23">
        <f t="shared" si="131"/>
        <v>0</v>
      </c>
      <c r="U152" s="23">
        <f t="shared" si="132"/>
        <v>0</v>
      </c>
      <c r="V152" s="23">
        <f t="shared" si="133"/>
        <v>0</v>
      </c>
      <c r="W152" s="23">
        <f t="shared" si="134"/>
        <v>0</v>
      </c>
      <c r="X152" s="23">
        <f t="shared" si="135"/>
        <v>0</v>
      </c>
      <c r="Y152" s="67" t="s">
        <v>173</v>
      </c>
      <c r="Z152" s="4">
        <f t="shared" si="136"/>
        <v>0</v>
      </c>
      <c r="AA152" s="4">
        <f t="shared" si="137"/>
        <v>0</v>
      </c>
      <c r="AB152" s="4">
        <f t="shared" si="138"/>
        <v>0</v>
      </c>
      <c r="AD152" s="23">
        <v>21</v>
      </c>
      <c r="AE152" s="23">
        <f>G152*0.896421348314607</f>
        <v>0</v>
      </c>
      <c r="AF152" s="23">
        <f>G152*(1-0.896421348314607)</f>
        <v>0</v>
      </c>
      <c r="AG152" s="72" t="s">
        <v>13</v>
      </c>
      <c r="AM152" s="23">
        <f t="shared" si="139"/>
        <v>0</v>
      </c>
      <c r="AN152" s="23">
        <f t="shared" si="140"/>
        <v>0</v>
      </c>
      <c r="AO152" s="75" t="s">
        <v>680</v>
      </c>
      <c r="AP152" s="75" t="s">
        <v>698</v>
      </c>
      <c r="AQ152" s="67" t="s">
        <v>710</v>
      </c>
      <c r="AS152" s="23">
        <f t="shared" si="141"/>
        <v>0</v>
      </c>
      <c r="AT152" s="23">
        <f t="shared" si="142"/>
        <v>0</v>
      </c>
      <c r="AU152" s="23">
        <v>0</v>
      </c>
      <c r="AV152" s="23">
        <f t="shared" si="143"/>
        <v>0.00164</v>
      </c>
    </row>
    <row r="153" spans="1:48" ht="12.75">
      <c r="A153" s="1" t="s">
        <v>119</v>
      </c>
      <c r="B153" s="1" t="s">
        <v>173</v>
      </c>
      <c r="C153" s="1" t="s">
        <v>302</v>
      </c>
      <c r="D153" s="1" t="s">
        <v>490</v>
      </c>
      <c r="E153" s="1" t="s">
        <v>555</v>
      </c>
      <c r="F153" s="4">
        <f>'Rozpočet - vybrané sloupce'!BA152</f>
        <v>1</v>
      </c>
      <c r="G153" s="6">
        <f>'Rozpočet - vybrané sloupce'!BF152</f>
        <v>0</v>
      </c>
      <c r="H153" s="4">
        <f t="shared" si="124"/>
        <v>0</v>
      </c>
      <c r="I153" s="4">
        <f t="shared" si="125"/>
        <v>0</v>
      </c>
      <c r="J153" s="4">
        <f t="shared" si="126"/>
        <v>0</v>
      </c>
      <c r="K153" s="4">
        <v>0.00085</v>
      </c>
      <c r="L153" s="4">
        <f t="shared" si="127"/>
        <v>0.00085</v>
      </c>
      <c r="M153" s="72" t="s">
        <v>643</v>
      </c>
      <c r="P153" s="23">
        <f t="shared" si="128"/>
        <v>0</v>
      </c>
      <c r="R153" s="23">
        <f t="shared" si="129"/>
        <v>0</v>
      </c>
      <c r="S153" s="23">
        <f t="shared" si="130"/>
        <v>0</v>
      </c>
      <c r="T153" s="23">
        <f t="shared" si="131"/>
        <v>0</v>
      </c>
      <c r="U153" s="23">
        <f t="shared" si="132"/>
        <v>0</v>
      </c>
      <c r="V153" s="23">
        <f t="shared" si="133"/>
        <v>0</v>
      </c>
      <c r="W153" s="23">
        <f t="shared" si="134"/>
        <v>0</v>
      </c>
      <c r="X153" s="23">
        <f t="shared" si="135"/>
        <v>0</v>
      </c>
      <c r="Y153" s="67" t="s">
        <v>173</v>
      </c>
      <c r="Z153" s="4">
        <f t="shared" si="136"/>
        <v>0</v>
      </c>
      <c r="AA153" s="4">
        <f t="shared" si="137"/>
        <v>0</v>
      </c>
      <c r="AB153" s="4">
        <f t="shared" si="138"/>
        <v>0</v>
      </c>
      <c r="AD153" s="23">
        <v>21</v>
      </c>
      <c r="AE153" s="23">
        <f>G153*0.904023945861531</f>
        <v>0</v>
      </c>
      <c r="AF153" s="23">
        <f>G153*(1-0.904023945861531)</f>
        <v>0</v>
      </c>
      <c r="AG153" s="72" t="s">
        <v>13</v>
      </c>
      <c r="AM153" s="23">
        <f t="shared" si="139"/>
        <v>0</v>
      </c>
      <c r="AN153" s="23">
        <f t="shared" si="140"/>
        <v>0</v>
      </c>
      <c r="AO153" s="75" t="s">
        <v>680</v>
      </c>
      <c r="AP153" s="75" t="s">
        <v>698</v>
      </c>
      <c r="AQ153" s="67" t="s">
        <v>710</v>
      </c>
      <c r="AS153" s="23">
        <f t="shared" si="141"/>
        <v>0</v>
      </c>
      <c r="AT153" s="23">
        <f t="shared" si="142"/>
        <v>0</v>
      </c>
      <c r="AU153" s="23">
        <v>0</v>
      </c>
      <c r="AV153" s="23">
        <f t="shared" si="143"/>
        <v>0.00085</v>
      </c>
    </row>
    <row r="154" spans="1:48" ht="12.75">
      <c r="A154" s="1" t="s">
        <v>120</v>
      </c>
      <c r="B154" s="1" t="s">
        <v>173</v>
      </c>
      <c r="C154" s="1" t="s">
        <v>303</v>
      </c>
      <c r="D154" s="1" t="s">
        <v>491</v>
      </c>
      <c r="E154" s="1" t="s">
        <v>555</v>
      </c>
      <c r="F154" s="4">
        <f>'Rozpočet - vybrané sloupce'!BA153</f>
        <v>1</v>
      </c>
      <c r="G154" s="6">
        <f>'Rozpočet - vybrané sloupce'!BF153</f>
        <v>0</v>
      </c>
      <c r="H154" s="4">
        <f t="shared" si="124"/>
        <v>0</v>
      </c>
      <c r="I154" s="4">
        <f t="shared" si="125"/>
        <v>0</v>
      </c>
      <c r="J154" s="4">
        <f t="shared" si="126"/>
        <v>0</v>
      </c>
      <c r="K154" s="4">
        <v>0.00022</v>
      </c>
      <c r="L154" s="4">
        <f t="shared" si="127"/>
        <v>0.00022</v>
      </c>
      <c r="M154" s="72" t="s">
        <v>643</v>
      </c>
      <c r="P154" s="23">
        <f t="shared" si="128"/>
        <v>0</v>
      </c>
      <c r="R154" s="23">
        <f t="shared" si="129"/>
        <v>0</v>
      </c>
      <c r="S154" s="23">
        <f t="shared" si="130"/>
        <v>0</v>
      </c>
      <c r="T154" s="23">
        <f t="shared" si="131"/>
        <v>0</v>
      </c>
      <c r="U154" s="23">
        <f t="shared" si="132"/>
        <v>0</v>
      </c>
      <c r="V154" s="23">
        <f t="shared" si="133"/>
        <v>0</v>
      </c>
      <c r="W154" s="23">
        <f t="shared" si="134"/>
        <v>0</v>
      </c>
      <c r="X154" s="23">
        <f t="shared" si="135"/>
        <v>0</v>
      </c>
      <c r="Y154" s="67" t="s">
        <v>173</v>
      </c>
      <c r="Z154" s="4">
        <f t="shared" si="136"/>
        <v>0</v>
      </c>
      <c r="AA154" s="4">
        <f t="shared" si="137"/>
        <v>0</v>
      </c>
      <c r="AB154" s="4">
        <f t="shared" si="138"/>
        <v>0</v>
      </c>
      <c r="AD154" s="23">
        <v>21</v>
      </c>
      <c r="AE154" s="23">
        <f>G154*0.696214605067064</f>
        <v>0</v>
      </c>
      <c r="AF154" s="23">
        <f>G154*(1-0.696214605067064)</f>
        <v>0</v>
      </c>
      <c r="AG154" s="72" t="s">
        <v>13</v>
      </c>
      <c r="AM154" s="23">
        <f t="shared" si="139"/>
        <v>0</v>
      </c>
      <c r="AN154" s="23">
        <f t="shared" si="140"/>
        <v>0</v>
      </c>
      <c r="AO154" s="75" t="s">
        <v>680</v>
      </c>
      <c r="AP154" s="75" t="s">
        <v>698</v>
      </c>
      <c r="AQ154" s="67" t="s">
        <v>710</v>
      </c>
      <c r="AS154" s="23">
        <f t="shared" si="141"/>
        <v>0</v>
      </c>
      <c r="AT154" s="23">
        <f t="shared" si="142"/>
        <v>0</v>
      </c>
      <c r="AU154" s="23">
        <v>0</v>
      </c>
      <c r="AV154" s="23">
        <f t="shared" si="143"/>
        <v>0.00022</v>
      </c>
    </row>
    <row r="155" spans="1:48" ht="12.75">
      <c r="A155" s="1" t="s">
        <v>121</v>
      </c>
      <c r="B155" s="1" t="s">
        <v>173</v>
      </c>
      <c r="C155" s="1" t="s">
        <v>304</v>
      </c>
      <c r="D155" s="1" t="s">
        <v>492</v>
      </c>
      <c r="E155" s="1" t="s">
        <v>555</v>
      </c>
      <c r="F155" s="4">
        <f>'Rozpočet - vybrané sloupce'!BA154</f>
        <v>3</v>
      </c>
      <c r="G155" s="6">
        <f>'Rozpočet - vybrané sloupce'!BF154</f>
        <v>0</v>
      </c>
      <c r="H155" s="4">
        <f t="shared" si="124"/>
        <v>0</v>
      </c>
      <c r="I155" s="4">
        <f t="shared" si="125"/>
        <v>0</v>
      </c>
      <c r="J155" s="4">
        <f t="shared" si="126"/>
        <v>0</v>
      </c>
      <c r="K155" s="4">
        <v>0.0002</v>
      </c>
      <c r="L155" s="4">
        <f t="shared" si="127"/>
        <v>0.0006000000000000001</v>
      </c>
      <c r="M155" s="72" t="s">
        <v>643</v>
      </c>
      <c r="P155" s="23">
        <f t="shared" si="128"/>
        <v>0</v>
      </c>
      <c r="R155" s="23">
        <f t="shared" si="129"/>
        <v>0</v>
      </c>
      <c r="S155" s="23">
        <f t="shared" si="130"/>
        <v>0</v>
      </c>
      <c r="T155" s="23">
        <f t="shared" si="131"/>
        <v>0</v>
      </c>
      <c r="U155" s="23">
        <f t="shared" si="132"/>
        <v>0</v>
      </c>
      <c r="V155" s="23">
        <f t="shared" si="133"/>
        <v>0</v>
      </c>
      <c r="W155" s="23">
        <f t="shared" si="134"/>
        <v>0</v>
      </c>
      <c r="X155" s="23">
        <f t="shared" si="135"/>
        <v>0</v>
      </c>
      <c r="Y155" s="67" t="s">
        <v>173</v>
      </c>
      <c r="Z155" s="4">
        <f t="shared" si="136"/>
        <v>0</v>
      </c>
      <c r="AA155" s="4">
        <f t="shared" si="137"/>
        <v>0</v>
      </c>
      <c r="AB155" s="4">
        <f t="shared" si="138"/>
        <v>0</v>
      </c>
      <c r="AD155" s="23">
        <v>21</v>
      </c>
      <c r="AE155" s="23">
        <f>G155*0.653921901528014</f>
        <v>0</v>
      </c>
      <c r="AF155" s="23">
        <f>G155*(1-0.653921901528014)</f>
        <v>0</v>
      </c>
      <c r="AG155" s="72" t="s">
        <v>13</v>
      </c>
      <c r="AM155" s="23">
        <f t="shared" si="139"/>
        <v>0</v>
      </c>
      <c r="AN155" s="23">
        <f t="shared" si="140"/>
        <v>0</v>
      </c>
      <c r="AO155" s="75" t="s">
        <v>680</v>
      </c>
      <c r="AP155" s="75" t="s">
        <v>698</v>
      </c>
      <c r="AQ155" s="67" t="s">
        <v>710</v>
      </c>
      <c r="AS155" s="23">
        <f t="shared" si="141"/>
        <v>0</v>
      </c>
      <c r="AT155" s="23">
        <f t="shared" si="142"/>
        <v>0</v>
      </c>
      <c r="AU155" s="23">
        <v>0</v>
      </c>
      <c r="AV155" s="23">
        <f t="shared" si="143"/>
        <v>0.0006000000000000001</v>
      </c>
    </row>
    <row r="156" spans="1:37" ht="12.75">
      <c r="A156" s="52"/>
      <c r="B156" s="58" t="s">
        <v>173</v>
      </c>
      <c r="C156" s="58" t="s">
        <v>305</v>
      </c>
      <c r="D156" s="58" t="s">
        <v>493</v>
      </c>
      <c r="E156" s="52" t="s">
        <v>6</v>
      </c>
      <c r="F156" s="52" t="s">
        <v>6</v>
      </c>
      <c r="G156" s="64" t="s">
        <v>6</v>
      </c>
      <c r="H156" s="9">
        <f>SUM(H157:H158)</f>
        <v>0</v>
      </c>
      <c r="I156" s="9">
        <f>SUM(I157:I158)</f>
        <v>0</v>
      </c>
      <c r="J156" s="9">
        <f>H156+I156</f>
        <v>0</v>
      </c>
      <c r="K156" s="67"/>
      <c r="L156" s="9">
        <f>SUM(L157:L158)</f>
        <v>0.05399999999999999</v>
      </c>
      <c r="M156" s="67"/>
      <c r="Y156" s="67" t="s">
        <v>173</v>
      </c>
      <c r="AI156" s="9">
        <f>SUM(Z157:Z158)</f>
        <v>0</v>
      </c>
      <c r="AJ156" s="9">
        <f>SUM(AA157:AA158)</f>
        <v>0</v>
      </c>
      <c r="AK156" s="9">
        <f>SUM(AB157:AB158)</f>
        <v>0</v>
      </c>
    </row>
    <row r="157" spans="1:48" ht="12.75">
      <c r="A157" s="1" t="s">
        <v>122</v>
      </c>
      <c r="B157" s="1" t="s">
        <v>173</v>
      </c>
      <c r="C157" s="1" t="s">
        <v>306</v>
      </c>
      <c r="D157" s="1" t="s">
        <v>494</v>
      </c>
      <c r="E157" s="1" t="s">
        <v>560</v>
      </c>
      <c r="F157" s="4">
        <f>'Rozpočet - vybrané sloupce'!BA156</f>
        <v>3</v>
      </c>
      <c r="G157" s="6">
        <f>'Rozpočet - vybrané sloupce'!BF156</f>
        <v>0</v>
      </c>
      <c r="H157" s="4">
        <f>F157*AE157</f>
        <v>0</v>
      </c>
      <c r="I157" s="4">
        <f>J157-H157</f>
        <v>0</v>
      </c>
      <c r="J157" s="4">
        <f>F157*G157</f>
        <v>0</v>
      </c>
      <c r="K157" s="4">
        <v>0.018</v>
      </c>
      <c r="L157" s="4">
        <f>F157*K157</f>
        <v>0.05399999999999999</v>
      </c>
      <c r="M157" s="72" t="s">
        <v>643</v>
      </c>
      <c r="P157" s="23">
        <f>IF(AG157="5",J157,0)</f>
        <v>0</v>
      </c>
      <c r="R157" s="23">
        <f>IF(AG157="1",H157,0)</f>
        <v>0</v>
      </c>
      <c r="S157" s="23">
        <f>IF(AG157="1",I157,0)</f>
        <v>0</v>
      </c>
      <c r="T157" s="23">
        <f>IF(AG157="7",H157,0)</f>
        <v>0</v>
      </c>
      <c r="U157" s="23">
        <f>IF(AG157="7",I157,0)</f>
        <v>0</v>
      </c>
      <c r="V157" s="23">
        <f>IF(AG157="2",H157,0)</f>
        <v>0</v>
      </c>
      <c r="W157" s="23">
        <f>IF(AG157="2",I157,0)</f>
        <v>0</v>
      </c>
      <c r="X157" s="23">
        <f>IF(AG157="0",J157,0)</f>
        <v>0</v>
      </c>
      <c r="Y157" s="67" t="s">
        <v>173</v>
      </c>
      <c r="Z157" s="4">
        <f>IF(AD157=0,J157,0)</f>
        <v>0</v>
      </c>
      <c r="AA157" s="4">
        <f>IF(AD157=15,J157,0)</f>
        <v>0</v>
      </c>
      <c r="AB157" s="4">
        <f>IF(AD157=21,J157,0)</f>
        <v>0</v>
      </c>
      <c r="AD157" s="23">
        <v>21</v>
      </c>
      <c r="AE157" s="23">
        <f>G157*0.92668231349539</f>
        <v>0</v>
      </c>
      <c r="AF157" s="23">
        <f>G157*(1-0.92668231349539)</f>
        <v>0</v>
      </c>
      <c r="AG157" s="72" t="s">
        <v>13</v>
      </c>
      <c r="AM157" s="23">
        <f>F157*AE157</f>
        <v>0</v>
      </c>
      <c r="AN157" s="23">
        <f>F157*AF157</f>
        <v>0</v>
      </c>
      <c r="AO157" s="75" t="s">
        <v>681</v>
      </c>
      <c r="AP157" s="75" t="s">
        <v>698</v>
      </c>
      <c r="AQ157" s="67" t="s">
        <v>710</v>
      </c>
      <c r="AS157" s="23">
        <f>AM157+AN157</f>
        <v>0</v>
      </c>
      <c r="AT157" s="23">
        <f>G157/(100-AU157)*100</f>
        <v>0</v>
      </c>
      <c r="AU157" s="23">
        <v>0</v>
      </c>
      <c r="AV157" s="23">
        <f>L157</f>
        <v>0.05399999999999999</v>
      </c>
    </row>
    <row r="158" spans="1:48" ht="12.75">
      <c r="A158" s="1" t="s">
        <v>123</v>
      </c>
      <c r="B158" s="1" t="s">
        <v>173</v>
      </c>
      <c r="C158" s="1" t="s">
        <v>307</v>
      </c>
      <c r="D158" s="1" t="s">
        <v>495</v>
      </c>
      <c r="E158" s="1" t="s">
        <v>553</v>
      </c>
      <c r="F158" s="4">
        <f>'Rozpočet - vybrané sloupce'!BA157</f>
        <v>0.17</v>
      </c>
      <c r="G158" s="6">
        <f>'Rozpočet - vybrané sloupce'!BF157</f>
        <v>0</v>
      </c>
      <c r="H158" s="4">
        <f>F158*AE158</f>
        <v>0</v>
      </c>
      <c r="I158" s="4">
        <f>J158-H158</f>
        <v>0</v>
      </c>
      <c r="J158" s="4">
        <f>F158*G158</f>
        <v>0</v>
      </c>
      <c r="K158" s="4">
        <v>0</v>
      </c>
      <c r="L158" s="4">
        <f>F158*K158</f>
        <v>0</v>
      </c>
      <c r="M158" s="72" t="s">
        <v>643</v>
      </c>
      <c r="P158" s="23">
        <f>IF(AG158="5",J158,0)</f>
        <v>0</v>
      </c>
      <c r="R158" s="23">
        <f>IF(AG158="1",H158,0)</f>
        <v>0</v>
      </c>
      <c r="S158" s="23">
        <f>IF(AG158="1",I158,0)</f>
        <v>0</v>
      </c>
      <c r="T158" s="23">
        <f>IF(AG158="7",H158,0)</f>
        <v>0</v>
      </c>
      <c r="U158" s="23">
        <f>IF(AG158="7",I158,0)</f>
        <v>0</v>
      </c>
      <c r="V158" s="23">
        <f>IF(AG158="2",H158,0)</f>
        <v>0</v>
      </c>
      <c r="W158" s="23">
        <f>IF(AG158="2",I158,0)</f>
        <v>0</v>
      </c>
      <c r="X158" s="23">
        <f>IF(AG158="0",J158,0)</f>
        <v>0</v>
      </c>
      <c r="Y158" s="67" t="s">
        <v>173</v>
      </c>
      <c r="Z158" s="4">
        <f>IF(AD158=0,J158,0)</f>
        <v>0</v>
      </c>
      <c r="AA158" s="4">
        <f>IF(AD158=15,J158,0)</f>
        <v>0</v>
      </c>
      <c r="AB158" s="4">
        <f>IF(AD158=21,J158,0)</f>
        <v>0</v>
      </c>
      <c r="AD158" s="23">
        <v>21</v>
      </c>
      <c r="AE158" s="23">
        <f>G158*0</f>
        <v>0</v>
      </c>
      <c r="AF158" s="23">
        <f>G158*(1-0)</f>
        <v>0</v>
      </c>
      <c r="AG158" s="72" t="s">
        <v>11</v>
      </c>
      <c r="AM158" s="23">
        <f>F158*AE158</f>
        <v>0</v>
      </c>
      <c r="AN158" s="23">
        <f>F158*AF158</f>
        <v>0</v>
      </c>
      <c r="AO158" s="75" t="s">
        <v>681</v>
      </c>
      <c r="AP158" s="75" t="s">
        <v>698</v>
      </c>
      <c r="AQ158" s="67" t="s">
        <v>710</v>
      </c>
      <c r="AS158" s="23">
        <f>AM158+AN158</f>
        <v>0</v>
      </c>
      <c r="AT158" s="23">
        <f>G158/(100-AU158)*100</f>
        <v>0</v>
      </c>
      <c r="AU158" s="23">
        <v>0</v>
      </c>
      <c r="AV158" s="23">
        <f>L158</f>
        <v>0</v>
      </c>
    </row>
    <row r="159" spans="1:13" ht="12.75">
      <c r="A159" s="53"/>
      <c r="B159" s="59" t="s">
        <v>174</v>
      </c>
      <c r="C159" s="59"/>
      <c r="D159" s="59" t="s">
        <v>496</v>
      </c>
      <c r="E159" s="53" t="s">
        <v>6</v>
      </c>
      <c r="F159" s="53" t="s">
        <v>6</v>
      </c>
      <c r="G159" s="65" t="s">
        <v>6</v>
      </c>
      <c r="H159" s="78">
        <f>H160</f>
        <v>0</v>
      </c>
      <c r="I159" s="78">
        <f>I160</f>
        <v>0</v>
      </c>
      <c r="J159" s="78">
        <f>H159+I159</f>
        <v>0</v>
      </c>
      <c r="K159" s="68"/>
      <c r="L159" s="78">
        <f>L160</f>
        <v>0</v>
      </c>
      <c r="M159" s="68"/>
    </row>
    <row r="160" spans="1:37" ht="12.75">
      <c r="A160" s="52"/>
      <c r="B160" s="58" t="s">
        <v>174</v>
      </c>
      <c r="C160" s="58" t="s">
        <v>308</v>
      </c>
      <c r="D160" s="58" t="s">
        <v>497</v>
      </c>
      <c r="E160" s="52" t="s">
        <v>6</v>
      </c>
      <c r="F160" s="52" t="s">
        <v>6</v>
      </c>
      <c r="G160" s="64" t="s">
        <v>6</v>
      </c>
      <c r="H160" s="9">
        <f>SUM(H161:H163)</f>
        <v>0</v>
      </c>
      <c r="I160" s="9">
        <f>SUM(I161:I163)</f>
        <v>0</v>
      </c>
      <c r="J160" s="9">
        <f>H160+I160</f>
        <v>0</v>
      </c>
      <c r="K160" s="67"/>
      <c r="L160" s="9">
        <f>SUM(L161:L163)</f>
        <v>0</v>
      </c>
      <c r="M160" s="67"/>
      <c r="Y160" s="67" t="s">
        <v>174</v>
      </c>
      <c r="AI160" s="9">
        <f>SUM(Z161:Z163)</f>
        <v>0</v>
      </c>
      <c r="AJ160" s="9">
        <f>SUM(AA161:AA163)</f>
        <v>0</v>
      </c>
      <c r="AK160" s="9">
        <f>SUM(AB161:AB163)</f>
        <v>0</v>
      </c>
    </row>
    <row r="161" spans="1:48" ht="12.75">
      <c r="A161" s="1" t="s">
        <v>124</v>
      </c>
      <c r="B161" s="1" t="s">
        <v>174</v>
      </c>
      <c r="C161" s="1" t="s">
        <v>309</v>
      </c>
      <c r="D161" s="1" t="s">
        <v>498</v>
      </c>
      <c r="E161" s="1" t="s">
        <v>555</v>
      </c>
      <c r="F161" s="4">
        <f>'Rozpočet - vybrané sloupce'!BA160</f>
        <v>3</v>
      </c>
      <c r="G161" s="6">
        <f>'Rozpočet - vybrané sloupce'!BF160</f>
        <v>0</v>
      </c>
      <c r="H161" s="4">
        <f>F161*AE161</f>
        <v>0</v>
      </c>
      <c r="I161" s="4">
        <f>J161-H161</f>
        <v>0</v>
      </c>
      <c r="J161" s="4">
        <f>F161*G161</f>
        <v>0</v>
      </c>
      <c r="K161" s="4">
        <v>0</v>
      </c>
      <c r="L161" s="4">
        <f>F161*K161</f>
        <v>0</v>
      </c>
      <c r="M161" s="72" t="s">
        <v>643</v>
      </c>
      <c r="P161" s="23">
        <f>IF(AG161="5",J161,0)</f>
        <v>0</v>
      </c>
      <c r="R161" s="23">
        <f>IF(AG161="1",H161,0)</f>
        <v>0</v>
      </c>
      <c r="S161" s="23">
        <f>IF(AG161="1",I161,0)</f>
        <v>0</v>
      </c>
      <c r="T161" s="23">
        <f>IF(AG161="7",H161,0)</f>
        <v>0</v>
      </c>
      <c r="U161" s="23">
        <f>IF(AG161="7",I161,0)</f>
        <v>0</v>
      </c>
      <c r="V161" s="23">
        <f>IF(AG161="2",H161,0)</f>
        <v>0</v>
      </c>
      <c r="W161" s="23">
        <f>IF(AG161="2",I161,0)</f>
        <v>0</v>
      </c>
      <c r="X161" s="23">
        <f>IF(AG161="0",J161,0)</f>
        <v>0</v>
      </c>
      <c r="Y161" s="67" t="s">
        <v>174</v>
      </c>
      <c r="Z161" s="4">
        <f>IF(AD161=0,J161,0)</f>
        <v>0</v>
      </c>
      <c r="AA161" s="4">
        <f>IF(AD161=15,J161,0)</f>
        <v>0</v>
      </c>
      <c r="AB161" s="4">
        <f>IF(AD161=21,J161,0)</f>
        <v>0</v>
      </c>
      <c r="AD161" s="23">
        <v>21</v>
      </c>
      <c r="AE161" s="23">
        <f>G161*0.534883720930233</f>
        <v>0</v>
      </c>
      <c r="AF161" s="23">
        <f>G161*(1-0.534883720930233)</f>
        <v>0</v>
      </c>
      <c r="AG161" s="72" t="s">
        <v>13</v>
      </c>
      <c r="AM161" s="23">
        <f>F161*AE161</f>
        <v>0</v>
      </c>
      <c r="AN161" s="23">
        <f>F161*AF161</f>
        <v>0</v>
      </c>
      <c r="AO161" s="75" t="s">
        <v>682</v>
      </c>
      <c r="AP161" s="75" t="s">
        <v>699</v>
      </c>
      <c r="AQ161" s="67" t="s">
        <v>711</v>
      </c>
      <c r="AS161" s="23">
        <f>AM161+AN161</f>
        <v>0</v>
      </c>
      <c r="AT161" s="23">
        <f>G161/(100-AU161)*100</f>
        <v>0</v>
      </c>
      <c r="AU161" s="23">
        <v>0</v>
      </c>
      <c r="AV161" s="23">
        <f>L161</f>
        <v>0</v>
      </c>
    </row>
    <row r="162" spans="1:48" ht="12.75">
      <c r="A162" s="1" t="s">
        <v>125</v>
      </c>
      <c r="B162" s="1" t="s">
        <v>174</v>
      </c>
      <c r="C162" s="1" t="s">
        <v>310</v>
      </c>
      <c r="D162" s="1" t="s">
        <v>499</v>
      </c>
      <c r="E162" s="1" t="s">
        <v>555</v>
      </c>
      <c r="F162" s="4">
        <f>'Rozpočet - vybrané sloupce'!BA161</f>
        <v>6</v>
      </c>
      <c r="G162" s="6">
        <f>'Rozpočet - vybrané sloupce'!BF161</f>
        <v>0</v>
      </c>
      <c r="H162" s="4">
        <f>F162*AE162</f>
        <v>0</v>
      </c>
      <c r="I162" s="4">
        <f>J162-H162</f>
        <v>0</v>
      </c>
      <c r="J162" s="4">
        <f>F162*G162</f>
        <v>0</v>
      </c>
      <c r="K162" s="4">
        <v>0</v>
      </c>
      <c r="L162" s="4">
        <f>F162*K162</f>
        <v>0</v>
      </c>
      <c r="M162" s="72" t="s">
        <v>643</v>
      </c>
      <c r="P162" s="23">
        <f>IF(AG162="5",J162,0)</f>
        <v>0</v>
      </c>
      <c r="R162" s="23">
        <f>IF(AG162="1",H162,0)</f>
        <v>0</v>
      </c>
      <c r="S162" s="23">
        <f>IF(AG162="1",I162,0)</f>
        <v>0</v>
      </c>
      <c r="T162" s="23">
        <f>IF(AG162="7",H162,0)</f>
        <v>0</v>
      </c>
      <c r="U162" s="23">
        <f>IF(AG162="7",I162,0)</f>
        <v>0</v>
      </c>
      <c r="V162" s="23">
        <f>IF(AG162="2",H162,0)</f>
        <v>0</v>
      </c>
      <c r="W162" s="23">
        <f>IF(AG162="2",I162,0)</f>
        <v>0</v>
      </c>
      <c r="X162" s="23">
        <f>IF(AG162="0",J162,0)</f>
        <v>0</v>
      </c>
      <c r="Y162" s="67" t="s">
        <v>174</v>
      </c>
      <c r="Z162" s="4">
        <f>IF(AD162=0,J162,0)</f>
        <v>0</v>
      </c>
      <c r="AA162" s="4">
        <f>IF(AD162=15,J162,0)</f>
        <v>0</v>
      </c>
      <c r="AB162" s="4">
        <f>IF(AD162=21,J162,0)</f>
        <v>0</v>
      </c>
      <c r="AD162" s="23">
        <v>21</v>
      </c>
      <c r="AE162" s="23">
        <f>G162*0.736842105263158</f>
        <v>0</v>
      </c>
      <c r="AF162" s="23">
        <f>G162*(1-0.736842105263158)</f>
        <v>0</v>
      </c>
      <c r="AG162" s="72" t="s">
        <v>13</v>
      </c>
      <c r="AM162" s="23">
        <f>F162*AE162</f>
        <v>0</v>
      </c>
      <c r="AN162" s="23">
        <f>F162*AF162</f>
        <v>0</v>
      </c>
      <c r="AO162" s="75" t="s">
        <v>682</v>
      </c>
      <c r="AP162" s="75" t="s">
        <v>699</v>
      </c>
      <c r="AQ162" s="67" t="s">
        <v>711</v>
      </c>
      <c r="AS162" s="23">
        <f>AM162+AN162</f>
        <v>0</v>
      </c>
      <c r="AT162" s="23">
        <f>G162/(100-AU162)*100</f>
        <v>0</v>
      </c>
      <c r="AU162" s="23">
        <v>0</v>
      </c>
      <c r="AV162" s="23">
        <f>L162</f>
        <v>0</v>
      </c>
    </row>
    <row r="163" spans="1:48" ht="12.75">
      <c r="A163" s="1" t="s">
        <v>126</v>
      </c>
      <c r="B163" s="1" t="s">
        <v>174</v>
      </c>
      <c r="C163" s="1" t="s">
        <v>311</v>
      </c>
      <c r="D163" s="1" t="s">
        <v>500</v>
      </c>
      <c r="E163" s="1" t="s">
        <v>555</v>
      </c>
      <c r="F163" s="4">
        <f>'Rozpočet - vybrané sloupce'!BA162</f>
        <v>2</v>
      </c>
      <c r="G163" s="6">
        <f>'Rozpočet - vybrané sloupce'!BF162</f>
        <v>0</v>
      </c>
      <c r="H163" s="4">
        <f>F163*AE163</f>
        <v>0</v>
      </c>
      <c r="I163" s="4">
        <f>J163-H163</f>
        <v>0</v>
      </c>
      <c r="J163" s="4">
        <f>F163*G163</f>
        <v>0</v>
      </c>
      <c r="K163" s="4">
        <v>0</v>
      </c>
      <c r="L163" s="4">
        <f>F163*K163</f>
        <v>0</v>
      </c>
      <c r="M163" s="72" t="s">
        <v>643</v>
      </c>
      <c r="P163" s="23">
        <f>IF(AG163="5",J163,0)</f>
        <v>0</v>
      </c>
      <c r="R163" s="23">
        <f>IF(AG163="1",H163,0)</f>
        <v>0</v>
      </c>
      <c r="S163" s="23">
        <f>IF(AG163="1",I163,0)</f>
        <v>0</v>
      </c>
      <c r="T163" s="23">
        <f>IF(AG163="7",H163,0)</f>
        <v>0</v>
      </c>
      <c r="U163" s="23">
        <f>IF(AG163="7",I163,0)</f>
        <v>0</v>
      </c>
      <c r="V163" s="23">
        <f>IF(AG163="2",H163,0)</f>
        <v>0</v>
      </c>
      <c r="W163" s="23">
        <f>IF(AG163="2",I163,0)</f>
        <v>0</v>
      </c>
      <c r="X163" s="23">
        <f>IF(AG163="0",J163,0)</f>
        <v>0</v>
      </c>
      <c r="Y163" s="67" t="s">
        <v>174</v>
      </c>
      <c r="Z163" s="4">
        <f>IF(AD163=0,J163,0)</f>
        <v>0</v>
      </c>
      <c r="AA163" s="4">
        <f>IF(AD163=15,J163,0)</f>
        <v>0</v>
      </c>
      <c r="AB163" s="4">
        <f>IF(AD163=21,J163,0)</f>
        <v>0</v>
      </c>
      <c r="AD163" s="23">
        <v>21</v>
      </c>
      <c r="AE163" s="23">
        <f>G163*0.926121372031662</f>
        <v>0</v>
      </c>
      <c r="AF163" s="23">
        <f>G163*(1-0.926121372031662)</f>
        <v>0</v>
      </c>
      <c r="AG163" s="72" t="s">
        <v>13</v>
      </c>
      <c r="AM163" s="23">
        <f>F163*AE163</f>
        <v>0</v>
      </c>
      <c r="AN163" s="23">
        <f>F163*AF163</f>
        <v>0</v>
      </c>
      <c r="AO163" s="75" t="s">
        <v>682</v>
      </c>
      <c r="AP163" s="75" t="s">
        <v>699</v>
      </c>
      <c r="AQ163" s="67" t="s">
        <v>711</v>
      </c>
      <c r="AS163" s="23">
        <f>AM163+AN163</f>
        <v>0</v>
      </c>
      <c r="AT163" s="23">
        <f>G163/(100-AU163)*100</f>
        <v>0</v>
      </c>
      <c r="AU163" s="23">
        <v>0</v>
      </c>
      <c r="AV163" s="23">
        <f>L163</f>
        <v>0</v>
      </c>
    </row>
    <row r="164" spans="1:13" ht="12.75">
      <c r="A164" s="53"/>
      <c r="B164" s="59" t="s">
        <v>175</v>
      </c>
      <c r="C164" s="59"/>
      <c r="D164" s="59" t="s">
        <v>501</v>
      </c>
      <c r="E164" s="53" t="s">
        <v>6</v>
      </c>
      <c r="F164" s="53" t="s">
        <v>6</v>
      </c>
      <c r="G164" s="65" t="s">
        <v>6</v>
      </c>
      <c r="H164" s="78">
        <f>H165+H167+H188</f>
        <v>0</v>
      </c>
      <c r="I164" s="78">
        <f>I165+I167+I188</f>
        <v>0</v>
      </c>
      <c r="J164" s="78">
        <f>H164+I164</f>
        <v>0</v>
      </c>
      <c r="K164" s="68"/>
      <c r="L164" s="78">
        <f>L165+L167+L188</f>
        <v>0.34750000000000003</v>
      </c>
      <c r="M164" s="68"/>
    </row>
    <row r="165" spans="1:37" ht="12.75">
      <c r="A165" s="52"/>
      <c r="B165" s="58" t="s">
        <v>175</v>
      </c>
      <c r="C165" s="58" t="s">
        <v>312</v>
      </c>
      <c r="D165" s="58" t="s">
        <v>502</v>
      </c>
      <c r="E165" s="52" t="s">
        <v>6</v>
      </c>
      <c r="F165" s="52" t="s">
        <v>6</v>
      </c>
      <c r="G165" s="64" t="s">
        <v>6</v>
      </c>
      <c r="H165" s="9">
        <f>SUM(H166:H166)</f>
        <v>0</v>
      </c>
      <c r="I165" s="9">
        <f>SUM(I166:I166)</f>
        <v>0</v>
      </c>
      <c r="J165" s="9">
        <f>H165+I165</f>
        <v>0</v>
      </c>
      <c r="K165" s="67"/>
      <c r="L165" s="9">
        <f>SUM(L166:L166)</f>
        <v>0</v>
      </c>
      <c r="M165" s="67"/>
      <c r="Y165" s="67" t="s">
        <v>175</v>
      </c>
      <c r="AI165" s="9">
        <f>SUM(Z166:Z166)</f>
        <v>0</v>
      </c>
      <c r="AJ165" s="9">
        <f>SUM(AA166:AA166)</f>
        <v>0</v>
      </c>
      <c r="AK165" s="9">
        <f>SUM(AB166:AB166)</f>
        <v>0</v>
      </c>
    </row>
    <row r="166" spans="1:48" ht="12.75">
      <c r="A166" s="1" t="s">
        <v>127</v>
      </c>
      <c r="B166" s="1" t="s">
        <v>175</v>
      </c>
      <c r="C166" s="1" t="s">
        <v>313</v>
      </c>
      <c r="D166" s="1" t="s">
        <v>503</v>
      </c>
      <c r="E166" s="1" t="s">
        <v>555</v>
      </c>
      <c r="F166" s="4">
        <f>'Rozpočet - vybrané sloupce'!BA165</f>
        <v>3</v>
      </c>
      <c r="G166" s="6">
        <f>'Rozpočet - vybrané sloupce'!BF165</f>
        <v>0</v>
      </c>
      <c r="H166" s="4">
        <f>F166*AE166</f>
        <v>0</v>
      </c>
      <c r="I166" s="4">
        <f>J166-H166</f>
        <v>0</v>
      </c>
      <c r="J166" s="4">
        <f>F166*G166</f>
        <v>0</v>
      </c>
      <c r="K166" s="4">
        <v>0</v>
      </c>
      <c r="L166" s="4">
        <f>F166*K166</f>
        <v>0</v>
      </c>
      <c r="M166" s="72" t="s">
        <v>643</v>
      </c>
      <c r="P166" s="23">
        <f>IF(AG166="5",J166,0)</f>
        <v>0</v>
      </c>
      <c r="R166" s="23">
        <f>IF(AG166="1",H166,0)</f>
        <v>0</v>
      </c>
      <c r="S166" s="23">
        <f>IF(AG166="1",I166,0)</f>
        <v>0</v>
      </c>
      <c r="T166" s="23">
        <f>IF(AG166="7",H166,0)</f>
        <v>0</v>
      </c>
      <c r="U166" s="23">
        <f>IF(AG166="7",I166,0)</f>
        <v>0</v>
      </c>
      <c r="V166" s="23">
        <f>IF(AG166="2",H166,0)</f>
        <v>0</v>
      </c>
      <c r="W166" s="23">
        <f>IF(AG166="2",I166,0)</f>
        <v>0</v>
      </c>
      <c r="X166" s="23">
        <f>IF(AG166="0",J166,0)</f>
        <v>0</v>
      </c>
      <c r="Y166" s="67" t="s">
        <v>175</v>
      </c>
      <c r="Z166" s="4">
        <f>IF(AD166=0,J166,0)</f>
        <v>0</v>
      </c>
      <c r="AA166" s="4">
        <f>IF(AD166=15,J166,0)</f>
        <v>0</v>
      </c>
      <c r="AB166" s="4">
        <f>IF(AD166=21,J166,0)</f>
        <v>0</v>
      </c>
      <c r="AD166" s="23">
        <v>21</v>
      </c>
      <c r="AE166" s="23">
        <f>G166*0</f>
        <v>0</v>
      </c>
      <c r="AF166" s="23">
        <f>G166*(1-0)</f>
        <v>0</v>
      </c>
      <c r="AG166" s="72" t="s">
        <v>13</v>
      </c>
      <c r="AM166" s="23">
        <f>F166*AE166</f>
        <v>0</v>
      </c>
      <c r="AN166" s="23">
        <f>F166*AF166</f>
        <v>0</v>
      </c>
      <c r="AO166" s="75" t="s">
        <v>683</v>
      </c>
      <c r="AP166" s="75" t="s">
        <v>700</v>
      </c>
      <c r="AQ166" s="67" t="s">
        <v>712</v>
      </c>
      <c r="AS166" s="23">
        <f>AM166+AN166</f>
        <v>0</v>
      </c>
      <c r="AT166" s="23">
        <f>G166/(100-AU166)*100</f>
        <v>0</v>
      </c>
      <c r="AU166" s="23">
        <v>0</v>
      </c>
      <c r="AV166" s="23">
        <f>L166</f>
        <v>0</v>
      </c>
    </row>
    <row r="167" spans="1:37" ht="12.75">
      <c r="A167" s="52"/>
      <c r="B167" s="58" t="s">
        <v>175</v>
      </c>
      <c r="C167" s="58" t="s">
        <v>260</v>
      </c>
      <c r="D167" s="58" t="s">
        <v>446</v>
      </c>
      <c r="E167" s="52" t="s">
        <v>6</v>
      </c>
      <c r="F167" s="52" t="s">
        <v>6</v>
      </c>
      <c r="G167" s="64" t="s">
        <v>6</v>
      </c>
      <c r="H167" s="9">
        <f>SUM(H168:H187)</f>
        <v>0</v>
      </c>
      <c r="I167" s="9">
        <f>SUM(I168:I187)</f>
        <v>0</v>
      </c>
      <c r="J167" s="9">
        <f>H167+I167</f>
        <v>0</v>
      </c>
      <c r="K167" s="67"/>
      <c r="L167" s="9">
        <f>SUM(L168:L187)</f>
        <v>0.34540000000000004</v>
      </c>
      <c r="M167" s="67"/>
      <c r="Y167" s="67" t="s">
        <v>175</v>
      </c>
      <c r="AI167" s="9">
        <f>SUM(Z168:Z187)</f>
        <v>0</v>
      </c>
      <c r="AJ167" s="9">
        <f>SUM(AA168:AA187)</f>
        <v>0</v>
      </c>
      <c r="AK167" s="9">
        <f>SUM(AB168:AB187)</f>
        <v>0</v>
      </c>
    </row>
    <row r="168" spans="1:48" ht="12.75">
      <c r="A168" s="1" t="s">
        <v>128</v>
      </c>
      <c r="B168" s="1" t="s">
        <v>175</v>
      </c>
      <c r="C168" s="1" t="s">
        <v>314</v>
      </c>
      <c r="D168" s="1" t="s">
        <v>504</v>
      </c>
      <c r="E168" s="1" t="s">
        <v>556</v>
      </c>
      <c r="F168" s="4">
        <f>'Rozpočet - vybrané sloupce'!BA167</f>
        <v>750</v>
      </c>
      <c r="G168" s="6">
        <f>'Rozpočet - vybrané sloupce'!BF167</f>
        <v>0</v>
      </c>
      <c r="H168" s="4">
        <f aca="true" t="shared" si="144" ref="H168:H187">F168*AE168</f>
        <v>0</v>
      </c>
      <c r="I168" s="4">
        <f aca="true" t="shared" si="145" ref="I168:I187">J168-H168</f>
        <v>0</v>
      </c>
      <c r="J168" s="4">
        <f aca="true" t="shared" si="146" ref="J168:J187">F168*G168</f>
        <v>0</v>
      </c>
      <c r="K168" s="4">
        <v>0.00016</v>
      </c>
      <c r="L168" s="4">
        <f aca="true" t="shared" si="147" ref="L168:L187">F168*K168</f>
        <v>0.12000000000000001</v>
      </c>
      <c r="M168" s="72" t="s">
        <v>643</v>
      </c>
      <c r="P168" s="23">
        <f aca="true" t="shared" si="148" ref="P168:P187">IF(AG168="5",J168,0)</f>
        <v>0</v>
      </c>
      <c r="R168" s="23">
        <f aca="true" t="shared" si="149" ref="R168:R187">IF(AG168="1",H168,0)</f>
        <v>0</v>
      </c>
      <c r="S168" s="23">
        <f aca="true" t="shared" si="150" ref="S168:S187">IF(AG168="1",I168,0)</f>
        <v>0</v>
      </c>
      <c r="T168" s="23">
        <f aca="true" t="shared" si="151" ref="T168:T187">IF(AG168="7",H168,0)</f>
        <v>0</v>
      </c>
      <c r="U168" s="23">
        <f aca="true" t="shared" si="152" ref="U168:U187">IF(AG168="7",I168,0)</f>
        <v>0</v>
      </c>
      <c r="V168" s="23">
        <f aca="true" t="shared" si="153" ref="V168:V187">IF(AG168="2",H168,0)</f>
        <v>0</v>
      </c>
      <c r="W168" s="23">
        <f aca="true" t="shared" si="154" ref="W168:W187">IF(AG168="2",I168,0)</f>
        <v>0</v>
      </c>
      <c r="X168" s="23">
        <f aca="true" t="shared" si="155" ref="X168:X187">IF(AG168="0",J168,0)</f>
        <v>0</v>
      </c>
      <c r="Y168" s="67" t="s">
        <v>175</v>
      </c>
      <c r="Z168" s="4">
        <f aca="true" t="shared" si="156" ref="Z168:Z187">IF(AD168=0,J168,0)</f>
        <v>0</v>
      </c>
      <c r="AA168" s="4">
        <f aca="true" t="shared" si="157" ref="AA168:AA187">IF(AD168=15,J168,0)</f>
        <v>0</v>
      </c>
      <c r="AB168" s="4">
        <f aca="true" t="shared" si="158" ref="AB168:AB187">IF(AD168=21,J168,0)</f>
        <v>0</v>
      </c>
      <c r="AD168" s="23">
        <v>21</v>
      </c>
      <c r="AE168" s="23">
        <f>G168*0.24177449168207</f>
        <v>0</v>
      </c>
      <c r="AF168" s="23">
        <f>G168*(1-0.24177449168207)</f>
        <v>0</v>
      </c>
      <c r="AG168" s="72" t="s">
        <v>8</v>
      </c>
      <c r="AM168" s="23">
        <f aca="true" t="shared" si="159" ref="AM168:AM187">F168*AE168</f>
        <v>0</v>
      </c>
      <c r="AN168" s="23">
        <f aca="true" t="shared" si="160" ref="AN168:AN187">F168*AF168</f>
        <v>0</v>
      </c>
      <c r="AO168" s="75" t="s">
        <v>675</v>
      </c>
      <c r="AP168" s="75" t="s">
        <v>701</v>
      </c>
      <c r="AQ168" s="67" t="s">
        <v>712</v>
      </c>
      <c r="AS168" s="23">
        <f aca="true" t="shared" si="161" ref="AS168:AS187">AM168+AN168</f>
        <v>0</v>
      </c>
      <c r="AT168" s="23">
        <f aca="true" t="shared" si="162" ref="AT168:AT187">G168/(100-AU168)*100</f>
        <v>0</v>
      </c>
      <c r="AU168" s="23">
        <v>0</v>
      </c>
      <c r="AV168" s="23">
        <f aca="true" t="shared" si="163" ref="AV168:AV187">L168</f>
        <v>0.12000000000000001</v>
      </c>
    </row>
    <row r="169" spans="1:48" ht="12.75">
      <c r="A169" s="1" t="s">
        <v>129</v>
      </c>
      <c r="B169" s="1" t="s">
        <v>175</v>
      </c>
      <c r="C169" s="1" t="s">
        <v>315</v>
      </c>
      <c r="D169" s="1" t="s">
        <v>505</v>
      </c>
      <c r="E169" s="1" t="s">
        <v>556</v>
      </c>
      <c r="F169" s="4">
        <f>'Rozpočet - vybrané sloupce'!BA168</f>
        <v>980</v>
      </c>
      <c r="G169" s="6">
        <f>'Rozpočet - vybrané sloupce'!BF168</f>
        <v>0</v>
      </c>
      <c r="H169" s="4">
        <f t="shared" si="144"/>
        <v>0</v>
      </c>
      <c r="I169" s="4">
        <f t="shared" si="145"/>
        <v>0</v>
      </c>
      <c r="J169" s="4">
        <f t="shared" si="146"/>
        <v>0</v>
      </c>
      <c r="K169" s="4">
        <v>0.00023</v>
      </c>
      <c r="L169" s="4">
        <f t="shared" si="147"/>
        <v>0.22540000000000002</v>
      </c>
      <c r="M169" s="72" t="s">
        <v>643</v>
      </c>
      <c r="P169" s="23">
        <f t="shared" si="148"/>
        <v>0</v>
      </c>
      <c r="R169" s="23">
        <f t="shared" si="149"/>
        <v>0</v>
      </c>
      <c r="S169" s="23">
        <f t="shared" si="150"/>
        <v>0</v>
      </c>
      <c r="T169" s="23">
        <f t="shared" si="151"/>
        <v>0</v>
      </c>
      <c r="U169" s="23">
        <f t="shared" si="152"/>
        <v>0</v>
      </c>
      <c r="V169" s="23">
        <f t="shared" si="153"/>
        <v>0</v>
      </c>
      <c r="W169" s="23">
        <f t="shared" si="154"/>
        <v>0</v>
      </c>
      <c r="X169" s="23">
        <f t="shared" si="155"/>
        <v>0</v>
      </c>
      <c r="Y169" s="67" t="s">
        <v>175</v>
      </c>
      <c r="Z169" s="4">
        <f t="shared" si="156"/>
        <v>0</v>
      </c>
      <c r="AA169" s="4">
        <f t="shared" si="157"/>
        <v>0</v>
      </c>
      <c r="AB169" s="4">
        <f t="shared" si="158"/>
        <v>0</v>
      </c>
      <c r="AD169" s="23">
        <v>21</v>
      </c>
      <c r="AE169" s="23">
        <f>G169*0.340353697749196</f>
        <v>0</v>
      </c>
      <c r="AF169" s="23">
        <f>G169*(1-0.340353697749196)</f>
        <v>0</v>
      </c>
      <c r="AG169" s="72" t="s">
        <v>8</v>
      </c>
      <c r="AM169" s="23">
        <f t="shared" si="159"/>
        <v>0</v>
      </c>
      <c r="AN169" s="23">
        <f t="shared" si="160"/>
        <v>0</v>
      </c>
      <c r="AO169" s="75" t="s">
        <v>675</v>
      </c>
      <c r="AP169" s="75" t="s">
        <v>701</v>
      </c>
      <c r="AQ169" s="67" t="s">
        <v>712</v>
      </c>
      <c r="AS169" s="23">
        <f t="shared" si="161"/>
        <v>0</v>
      </c>
      <c r="AT169" s="23">
        <f t="shared" si="162"/>
        <v>0</v>
      </c>
      <c r="AU169" s="23">
        <v>0</v>
      </c>
      <c r="AV169" s="23">
        <f t="shared" si="163"/>
        <v>0.22540000000000002</v>
      </c>
    </row>
    <row r="170" spans="1:48" ht="12.75">
      <c r="A170" s="1" t="s">
        <v>130</v>
      </c>
      <c r="B170" s="1" t="s">
        <v>175</v>
      </c>
      <c r="C170" s="1" t="s">
        <v>316</v>
      </c>
      <c r="D170" s="1" t="s">
        <v>506</v>
      </c>
      <c r="E170" s="1" t="s">
        <v>558</v>
      </c>
      <c r="F170" s="4">
        <f>'Rozpočet - vybrané sloupce'!BA169</f>
        <v>1</v>
      </c>
      <c r="G170" s="6">
        <f>'Rozpočet - vybrané sloupce'!BF169</f>
        <v>0</v>
      </c>
      <c r="H170" s="4">
        <f t="shared" si="144"/>
        <v>0</v>
      </c>
      <c r="I170" s="4">
        <f t="shared" si="145"/>
        <v>0</v>
      </c>
      <c r="J170" s="4">
        <f t="shared" si="146"/>
        <v>0</v>
      </c>
      <c r="K170" s="4">
        <v>0</v>
      </c>
      <c r="L170" s="4">
        <f t="shared" si="147"/>
        <v>0</v>
      </c>
      <c r="M170" s="72" t="s">
        <v>643</v>
      </c>
      <c r="P170" s="23">
        <f t="shared" si="148"/>
        <v>0</v>
      </c>
      <c r="R170" s="23">
        <f t="shared" si="149"/>
        <v>0</v>
      </c>
      <c r="S170" s="23">
        <f t="shared" si="150"/>
        <v>0</v>
      </c>
      <c r="T170" s="23">
        <f t="shared" si="151"/>
        <v>0</v>
      </c>
      <c r="U170" s="23">
        <f t="shared" si="152"/>
        <v>0</v>
      </c>
      <c r="V170" s="23">
        <f t="shared" si="153"/>
        <v>0</v>
      </c>
      <c r="W170" s="23">
        <f t="shared" si="154"/>
        <v>0</v>
      </c>
      <c r="X170" s="23">
        <f t="shared" si="155"/>
        <v>0</v>
      </c>
      <c r="Y170" s="67" t="s">
        <v>175</v>
      </c>
      <c r="Z170" s="4">
        <f t="shared" si="156"/>
        <v>0</v>
      </c>
      <c r="AA170" s="4">
        <f t="shared" si="157"/>
        <v>0</v>
      </c>
      <c r="AB170" s="4">
        <f t="shared" si="158"/>
        <v>0</v>
      </c>
      <c r="AD170" s="23">
        <v>21</v>
      </c>
      <c r="AE170" s="23">
        <f aca="true" t="shared" si="164" ref="AE170:AE186">G170*1</f>
        <v>0</v>
      </c>
      <c r="AF170" s="23">
        <f aca="true" t="shared" si="165" ref="AF170:AF186">G170*(1-1)</f>
        <v>0</v>
      </c>
      <c r="AG170" s="72" t="s">
        <v>8</v>
      </c>
      <c r="AM170" s="23">
        <f t="shared" si="159"/>
        <v>0</v>
      </c>
      <c r="AN170" s="23">
        <f t="shared" si="160"/>
        <v>0</v>
      </c>
      <c r="AO170" s="75" t="s">
        <v>675</v>
      </c>
      <c r="AP170" s="75" t="s">
        <v>701</v>
      </c>
      <c r="AQ170" s="67" t="s">
        <v>712</v>
      </c>
      <c r="AS170" s="23">
        <f t="shared" si="161"/>
        <v>0</v>
      </c>
      <c r="AT170" s="23">
        <f t="shared" si="162"/>
        <v>0</v>
      </c>
      <c r="AU170" s="23">
        <v>0</v>
      </c>
      <c r="AV170" s="23">
        <f t="shared" si="163"/>
        <v>0</v>
      </c>
    </row>
    <row r="171" spans="1:48" ht="12.75">
      <c r="A171" s="1" t="s">
        <v>131</v>
      </c>
      <c r="B171" s="1" t="s">
        <v>175</v>
      </c>
      <c r="C171" s="1" t="s">
        <v>317</v>
      </c>
      <c r="D171" s="1" t="s">
        <v>507</v>
      </c>
      <c r="E171" s="1" t="s">
        <v>557</v>
      </c>
      <c r="F171" s="4">
        <f>'Rozpočet - vybrané sloupce'!BA170</f>
        <v>2</v>
      </c>
      <c r="G171" s="6">
        <f>'Rozpočet - vybrané sloupce'!BF170</f>
        <v>0</v>
      </c>
      <c r="H171" s="4">
        <f t="shared" si="144"/>
        <v>0</v>
      </c>
      <c r="I171" s="4">
        <f t="shared" si="145"/>
        <v>0</v>
      </c>
      <c r="J171" s="4">
        <f t="shared" si="146"/>
        <v>0</v>
      </c>
      <c r="K171" s="4">
        <v>0</v>
      </c>
      <c r="L171" s="4">
        <f t="shared" si="147"/>
        <v>0</v>
      </c>
      <c r="M171" s="72" t="s">
        <v>643</v>
      </c>
      <c r="P171" s="23">
        <f t="shared" si="148"/>
        <v>0</v>
      </c>
      <c r="R171" s="23">
        <f t="shared" si="149"/>
        <v>0</v>
      </c>
      <c r="S171" s="23">
        <f t="shared" si="150"/>
        <v>0</v>
      </c>
      <c r="T171" s="23">
        <f t="shared" si="151"/>
        <v>0</v>
      </c>
      <c r="U171" s="23">
        <f t="shared" si="152"/>
        <v>0</v>
      </c>
      <c r="V171" s="23">
        <f t="shared" si="153"/>
        <v>0</v>
      </c>
      <c r="W171" s="23">
        <f t="shared" si="154"/>
        <v>0</v>
      </c>
      <c r="X171" s="23">
        <f t="shared" si="155"/>
        <v>0</v>
      </c>
      <c r="Y171" s="67" t="s">
        <v>175</v>
      </c>
      <c r="Z171" s="4">
        <f t="shared" si="156"/>
        <v>0</v>
      </c>
      <c r="AA171" s="4">
        <f t="shared" si="157"/>
        <v>0</v>
      </c>
      <c r="AB171" s="4">
        <f t="shared" si="158"/>
        <v>0</v>
      </c>
      <c r="AD171" s="23">
        <v>21</v>
      </c>
      <c r="AE171" s="23">
        <f t="shared" si="164"/>
        <v>0</v>
      </c>
      <c r="AF171" s="23">
        <f t="shared" si="165"/>
        <v>0</v>
      </c>
      <c r="AG171" s="72" t="s">
        <v>8</v>
      </c>
      <c r="AM171" s="23">
        <f t="shared" si="159"/>
        <v>0</v>
      </c>
      <c r="AN171" s="23">
        <f t="shared" si="160"/>
        <v>0</v>
      </c>
      <c r="AO171" s="75" t="s">
        <v>675</v>
      </c>
      <c r="AP171" s="75" t="s">
        <v>701</v>
      </c>
      <c r="AQ171" s="67" t="s">
        <v>712</v>
      </c>
      <c r="AS171" s="23">
        <f t="shared" si="161"/>
        <v>0</v>
      </c>
      <c r="AT171" s="23">
        <f t="shared" si="162"/>
        <v>0</v>
      </c>
      <c r="AU171" s="23">
        <v>0</v>
      </c>
      <c r="AV171" s="23">
        <f t="shared" si="163"/>
        <v>0</v>
      </c>
    </row>
    <row r="172" spans="1:48" ht="12.75">
      <c r="A172" s="1" t="s">
        <v>132</v>
      </c>
      <c r="B172" s="1" t="s">
        <v>175</v>
      </c>
      <c r="C172" s="1" t="s">
        <v>318</v>
      </c>
      <c r="D172" s="1" t="s">
        <v>508</v>
      </c>
      <c r="E172" s="1" t="s">
        <v>557</v>
      </c>
      <c r="F172" s="4">
        <f>'Rozpočet - vybrané sloupce'!BA171</f>
        <v>55</v>
      </c>
      <c r="G172" s="6">
        <f>'Rozpočet - vybrané sloupce'!BF171</f>
        <v>0</v>
      </c>
      <c r="H172" s="4">
        <f t="shared" si="144"/>
        <v>0</v>
      </c>
      <c r="I172" s="4">
        <f t="shared" si="145"/>
        <v>0</v>
      </c>
      <c r="J172" s="4">
        <f t="shared" si="146"/>
        <v>0</v>
      </c>
      <c r="K172" s="4">
        <v>0</v>
      </c>
      <c r="L172" s="4">
        <f t="shared" si="147"/>
        <v>0</v>
      </c>
      <c r="M172" s="72" t="s">
        <v>643</v>
      </c>
      <c r="P172" s="23">
        <f t="shared" si="148"/>
        <v>0</v>
      </c>
      <c r="R172" s="23">
        <f t="shared" si="149"/>
        <v>0</v>
      </c>
      <c r="S172" s="23">
        <f t="shared" si="150"/>
        <v>0</v>
      </c>
      <c r="T172" s="23">
        <f t="shared" si="151"/>
        <v>0</v>
      </c>
      <c r="U172" s="23">
        <f t="shared" si="152"/>
        <v>0</v>
      </c>
      <c r="V172" s="23">
        <f t="shared" si="153"/>
        <v>0</v>
      </c>
      <c r="W172" s="23">
        <f t="shared" si="154"/>
        <v>0</v>
      </c>
      <c r="X172" s="23">
        <f t="shared" si="155"/>
        <v>0</v>
      </c>
      <c r="Y172" s="67" t="s">
        <v>175</v>
      </c>
      <c r="Z172" s="4">
        <f t="shared" si="156"/>
        <v>0</v>
      </c>
      <c r="AA172" s="4">
        <f t="shared" si="157"/>
        <v>0</v>
      </c>
      <c r="AB172" s="4">
        <f t="shared" si="158"/>
        <v>0</v>
      </c>
      <c r="AD172" s="23">
        <v>21</v>
      </c>
      <c r="AE172" s="23">
        <f t="shared" si="164"/>
        <v>0</v>
      </c>
      <c r="AF172" s="23">
        <f t="shared" si="165"/>
        <v>0</v>
      </c>
      <c r="AG172" s="72" t="s">
        <v>8</v>
      </c>
      <c r="AM172" s="23">
        <f t="shared" si="159"/>
        <v>0</v>
      </c>
      <c r="AN172" s="23">
        <f t="shared" si="160"/>
        <v>0</v>
      </c>
      <c r="AO172" s="75" t="s">
        <v>675</v>
      </c>
      <c r="AP172" s="75" t="s">
        <v>701</v>
      </c>
      <c r="AQ172" s="67" t="s">
        <v>712</v>
      </c>
      <c r="AS172" s="23">
        <f t="shared" si="161"/>
        <v>0</v>
      </c>
      <c r="AT172" s="23">
        <f t="shared" si="162"/>
        <v>0</v>
      </c>
      <c r="AU172" s="23">
        <v>0</v>
      </c>
      <c r="AV172" s="23">
        <f t="shared" si="163"/>
        <v>0</v>
      </c>
    </row>
    <row r="173" spans="1:48" ht="12.75">
      <c r="A173" s="1" t="s">
        <v>133</v>
      </c>
      <c r="B173" s="1" t="s">
        <v>175</v>
      </c>
      <c r="C173" s="1" t="s">
        <v>319</v>
      </c>
      <c r="D173" s="1" t="s">
        <v>509</v>
      </c>
      <c r="E173" s="1" t="s">
        <v>557</v>
      </c>
      <c r="F173" s="4">
        <f>'Rozpočet - vybrané sloupce'!BA172</f>
        <v>4</v>
      </c>
      <c r="G173" s="6">
        <f>'Rozpočet - vybrané sloupce'!BF172</f>
        <v>0</v>
      </c>
      <c r="H173" s="4">
        <f t="shared" si="144"/>
        <v>0</v>
      </c>
      <c r="I173" s="4">
        <f t="shared" si="145"/>
        <v>0</v>
      </c>
      <c r="J173" s="4">
        <f t="shared" si="146"/>
        <v>0</v>
      </c>
      <c r="K173" s="4">
        <v>0</v>
      </c>
      <c r="L173" s="4">
        <f t="shared" si="147"/>
        <v>0</v>
      </c>
      <c r="M173" s="72" t="s">
        <v>643</v>
      </c>
      <c r="P173" s="23">
        <f t="shared" si="148"/>
        <v>0</v>
      </c>
      <c r="R173" s="23">
        <f t="shared" si="149"/>
        <v>0</v>
      </c>
      <c r="S173" s="23">
        <f t="shared" si="150"/>
        <v>0</v>
      </c>
      <c r="T173" s="23">
        <f t="shared" si="151"/>
        <v>0</v>
      </c>
      <c r="U173" s="23">
        <f t="shared" si="152"/>
        <v>0</v>
      </c>
      <c r="V173" s="23">
        <f t="shared" si="153"/>
        <v>0</v>
      </c>
      <c r="W173" s="23">
        <f t="shared" si="154"/>
        <v>0</v>
      </c>
      <c r="X173" s="23">
        <f t="shared" si="155"/>
        <v>0</v>
      </c>
      <c r="Y173" s="67" t="s">
        <v>175</v>
      </c>
      <c r="Z173" s="4">
        <f t="shared" si="156"/>
        <v>0</v>
      </c>
      <c r="AA173" s="4">
        <f t="shared" si="157"/>
        <v>0</v>
      </c>
      <c r="AB173" s="4">
        <f t="shared" si="158"/>
        <v>0</v>
      </c>
      <c r="AD173" s="23">
        <v>21</v>
      </c>
      <c r="AE173" s="23">
        <f t="shared" si="164"/>
        <v>0</v>
      </c>
      <c r="AF173" s="23">
        <f t="shared" si="165"/>
        <v>0</v>
      </c>
      <c r="AG173" s="72" t="s">
        <v>8</v>
      </c>
      <c r="AM173" s="23">
        <f t="shared" si="159"/>
        <v>0</v>
      </c>
      <c r="AN173" s="23">
        <f t="shared" si="160"/>
        <v>0</v>
      </c>
      <c r="AO173" s="75" t="s">
        <v>675</v>
      </c>
      <c r="AP173" s="75" t="s">
        <v>701</v>
      </c>
      <c r="AQ173" s="67" t="s">
        <v>712</v>
      </c>
      <c r="AS173" s="23">
        <f t="shared" si="161"/>
        <v>0</v>
      </c>
      <c r="AT173" s="23">
        <f t="shared" si="162"/>
        <v>0</v>
      </c>
      <c r="AU173" s="23">
        <v>0</v>
      </c>
      <c r="AV173" s="23">
        <f t="shared" si="163"/>
        <v>0</v>
      </c>
    </row>
    <row r="174" spans="1:48" ht="12.75">
      <c r="A174" s="1" t="s">
        <v>134</v>
      </c>
      <c r="B174" s="1" t="s">
        <v>175</v>
      </c>
      <c r="C174" s="1" t="s">
        <v>320</v>
      </c>
      <c r="D174" s="1" t="s">
        <v>510</v>
      </c>
      <c r="E174" s="1" t="s">
        <v>557</v>
      </c>
      <c r="F174" s="4">
        <f>'Rozpočet - vybrané sloupce'!BA173</f>
        <v>16</v>
      </c>
      <c r="G174" s="6">
        <f>'Rozpočet - vybrané sloupce'!BF173</f>
        <v>0</v>
      </c>
      <c r="H174" s="4">
        <f t="shared" si="144"/>
        <v>0</v>
      </c>
      <c r="I174" s="4">
        <f t="shared" si="145"/>
        <v>0</v>
      </c>
      <c r="J174" s="4">
        <f t="shared" si="146"/>
        <v>0</v>
      </c>
      <c r="K174" s="4">
        <v>0</v>
      </c>
      <c r="L174" s="4">
        <f t="shared" si="147"/>
        <v>0</v>
      </c>
      <c r="M174" s="72" t="s">
        <v>643</v>
      </c>
      <c r="P174" s="23">
        <f t="shared" si="148"/>
        <v>0</v>
      </c>
      <c r="R174" s="23">
        <f t="shared" si="149"/>
        <v>0</v>
      </c>
      <c r="S174" s="23">
        <f t="shared" si="150"/>
        <v>0</v>
      </c>
      <c r="T174" s="23">
        <f t="shared" si="151"/>
        <v>0</v>
      </c>
      <c r="U174" s="23">
        <f t="shared" si="152"/>
        <v>0</v>
      </c>
      <c r="V174" s="23">
        <f t="shared" si="153"/>
        <v>0</v>
      </c>
      <c r="W174" s="23">
        <f t="shared" si="154"/>
        <v>0</v>
      </c>
      <c r="X174" s="23">
        <f t="shared" si="155"/>
        <v>0</v>
      </c>
      <c r="Y174" s="67" t="s">
        <v>175</v>
      </c>
      <c r="Z174" s="4">
        <f t="shared" si="156"/>
        <v>0</v>
      </c>
      <c r="AA174" s="4">
        <f t="shared" si="157"/>
        <v>0</v>
      </c>
      <c r="AB174" s="4">
        <f t="shared" si="158"/>
        <v>0</v>
      </c>
      <c r="AD174" s="23">
        <v>21</v>
      </c>
      <c r="AE174" s="23">
        <f t="shared" si="164"/>
        <v>0</v>
      </c>
      <c r="AF174" s="23">
        <f t="shared" si="165"/>
        <v>0</v>
      </c>
      <c r="AG174" s="72" t="s">
        <v>8</v>
      </c>
      <c r="AM174" s="23">
        <f t="shared" si="159"/>
        <v>0</v>
      </c>
      <c r="AN174" s="23">
        <f t="shared" si="160"/>
        <v>0</v>
      </c>
      <c r="AO174" s="75" t="s">
        <v>675</v>
      </c>
      <c r="AP174" s="75" t="s">
        <v>701</v>
      </c>
      <c r="AQ174" s="67" t="s">
        <v>712</v>
      </c>
      <c r="AS174" s="23">
        <f t="shared" si="161"/>
        <v>0</v>
      </c>
      <c r="AT174" s="23">
        <f t="shared" si="162"/>
        <v>0</v>
      </c>
      <c r="AU174" s="23">
        <v>0</v>
      </c>
      <c r="AV174" s="23">
        <f t="shared" si="163"/>
        <v>0</v>
      </c>
    </row>
    <row r="175" spans="1:48" ht="12.75">
      <c r="A175" s="1" t="s">
        <v>135</v>
      </c>
      <c r="B175" s="1" t="s">
        <v>175</v>
      </c>
      <c r="C175" s="1" t="s">
        <v>321</v>
      </c>
      <c r="D175" s="1" t="s">
        <v>511</v>
      </c>
      <c r="E175" s="1" t="s">
        <v>557</v>
      </c>
      <c r="F175" s="4">
        <f>'Rozpočet - vybrané sloupce'!BA174</f>
        <v>14</v>
      </c>
      <c r="G175" s="6">
        <f>'Rozpočet - vybrané sloupce'!BF174</f>
        <v>0</v>
      </c>
      <c r="H175" s="4">
        <f t="shared" si="144"/>
        <v>0</v>
      </c>
      <c r="I175" s="4">
        <f t="shared" si="145"/>
        <v>0</v>
      </c>
      <c r="J175" s="4">
        <f t="shared" si="146"/>
        <v>0</v>
      </c>
      <c r="K175" s="4">
        <v>0</v>
      </c>
      <c r="L175" s="4">
        <f t="shared" si="147"/>
        <v>0</v>
      </c>
      <c r="M175" s="72" t="s">
        <v>643</v>
      </c>
      <c r="P175" s="23">
        <f t="shared" si="148"/>
        <v>0</v>
      </c>
      <c r="R175" s="23">
        <f t="shared" si="149"/>
        <v>0</v>
      </c>
      <c r="S175" s="23">
        <f t="shared" si="150"/>
        <v>0</v>
      </c>
      <c r="T175" s="23">
        <f t="shared" si="151"/>
        <v>0</v>
      </c>
      <c r="U175" s="23">
        <f t="shared" si="152"/>
        <v>0</v>
      </c>
      <c r="V175" s="23">
        <f t="shared" si="153"/>
        <v>0</v>
      </c>
      <c r="W175" s="23">
        <f t="shared" si="154"/>
        <v>0</v>
      </c>
      <c r="X175" s="23">
        <f t="shared" si="155"/>
        <v>0</v>
      </c>
      <c r="Y175" s="67" t="s">
        <v>175</v>
      </c>
      <c r="Z175" s="4">
        <f t="shared" si="156"/>
        <v>0</v>
      </c>
      <c r="AA175" s="4">
        <f t="shared" si="157"/>
        <v>0</v>
      </c>
      <c r="AB175" s="4">
        <f t="shared" si="158"/>
        <v>0</v>
      </c>
      <c r="AD175" s="23">
        <v>21</v>
      </c>
      <c r="AE175" s="23">
        <f t="shared" si="164"/>
        <v>0</v>
      </c>
      <c r="AF175" s="23">
        <f t="shared" si="165"/>
        <v>0</v>
      </c>
      <c r="AG175" s="72" t="s">
        <v>8</v>
      </c>
      <c r="AM175" s="23">
        <f t="shared" si="159"/>
        <v>0</v>
      </c>
      <c r="AN175" s="23">
        <f t="shared" si="160"/>
        <v>0</v>
      </c>
      <c r="AO175" s="75" t="s">
        <v>675</v>
      </c>
      <c r="AP175" s="75" t="s">
        <v>701</v>
      </c>
      <c r="AQ175" s="67" t="s">
        <v>712</v>
      </c>
      <c r="AS175" s="23">
        <f t="shared" si="161"/>
        <v>0</v>
      </c>
      <c r="AT175" s="23">
        <f t="shared" si="162"/>
        <v>0</v>
      </c>
      <c r="AU175" s="23">
        <v>0</v>
      </c>
      <c r="AV175" s="23">
        <f t="shared" si="163"/>
        <v>0</v>
      </c>
    </row>
    <row r="176" spans="1:48" ht="12.75">
      <c r="A176" s="1" t="s">
        <v>136</v>
      </c>
      <c r="B176" s="1" t="s">
        <v>175</v>
      </c>
      <c r="C176" s="1" t="s">
        <v>322</v>
      </c>
      <c r="D176" s="1" t="s">
        <v>512</v>
      </c>
      <c r="E176" s="1" t="s">
        <v>557</v>
      </c>
      <c r="F176" s="4">
        <f>'Rozpočet - vybrané sloupce'!BA175</f>
        <v>6</v>
      </c>
      <c r="G176" s="6">
        <f>'Rozpočet - vybrané sloupce'!BF175</f>
        <v>0</v>
      </c>
      <c r="H176" s="4">
        <f t="shared" si="144"/>
        <v>0</v>
      </c>
      <c r="I176" s="4">
        <f t="shared" si="145"/>
        <v>0</v>
      </c>
      <c r="J176" s="4">
        <f t="shared" si="146"/>
        <v>0</v>
      </c>
      <c r="K176" s="4">
        <v>0</v>
      </c>
      <c r="L176" s="4">
        <f t="shared" si="147"/>
        <v>0</v>
      </c>
      <c r="M176" s="72" t="s">
        <v>643</v>
      </c>
      <c r="P176" s="23">
        <f t="shared" si="148"/>
        <v>0</v>
      </c>
      <c r="R176" s="23">
        <f t="shared" si="149"/>
        <v>0</v>
      </c>
      <c r="S176" s="23">
        <f t="shared" si="150"/>
        <v>0</v>
      </c>
      <c r="T176" s="23">
        <f t="shared" si="151"/>
        <v>0</v>
      </c>
      <c r="U176" s="23">
        <f t="shared" si="152"/>
        <v>0</v>
      </c>
      <c r="V176" s="23">
        <f t="shared" si="153"/>
        <v>0</v>
      </c>
      <c r="W176" s="23">
        <f t="shared" si="154"/>
        <v>0</v>
      </c>
      <c r="X176" s="23">
        <f t="shared" si="155"/>
        <v>0</v>
      </c>
      <c r="Y176" s="67" t="s">
        <v>175</v>
      </c>
      <c r="Z176" s="4">
        <f t="shared" si="156"/>
        <v>0</v>
      </c>
      <c r="AA176" s="4">
        <f t="shared" si="157"/>
        <v>0</v>
      </c>
      <c r="AB176" s="4">
        <f t="shared" si="158"/>
        <v>0</v>
      </c>
      <c r="AD176" s="23">
        <v>21</v>
      </c>
      <c r="AE176" s="23">
        <f t="shared" si="164"/>
        <v>0</v>
      </c>
      <c r="AF176" s="23">
        <f t="shared" si="165"/>
        <v>0</v>
      </c>
      <c r="AG176" s="72" t="s">
        <v>8</v>
      </c>
      <c r="AM176" s="23">
        <f t="shared" si="159"/>
        <v>0</v>
      </c>
      <c r="AN176" s="23">
        <f t="shared" si="160"/>
        <v>0</v>
      </c>
      <c r="AO176" s="75" t="s">
        <v>675</v>
      </c>
      <c r="AP176" s="75" t="s">
        <v>701</v>
      </c>
      <c r="AQ176" s="67" t="s">
        <v>712</v>
      </c>
      <c r="AS176" s="23">
        <f t="shared" si="161"/>
        <v>0</v>
      </c>
      <c r="AT176" s="23">
        <f t="shared" si="162"/>
        <v>0</v>
      </c>
      <c r="AU176" s="23">
        <v>0</v>
      </c>
      <c r="AV176" s="23">
        <f t="shared" si="163"/>
        <v>0</v>
      </c>
    </row>
    <row r="177" spans="1:48" ht="12.75">
      <c r="A177" s="1" t="s">
        <v>137</v>
      </c>
      <c r="B177" s="1" t="s">
        <v>175</v>
      </c>
      <c r="C177" s="1" t="s">
        <v>323</v>
      </c>
      <c r="D177" s="1" t="s">
        <v>513</v>
      </c>
      <c r="E177" s="1" t="s">
        <v>557</v>
      </c>
      <c r="F177" s="4">
        <f>'Rozpočet - vybrané sloupce'!BA176</f>
        <v>3</v>
      </c>
      <c r="G177" s="6">
        <f>'Rozpočet - vybrané sloupce'!BF176</f>
        <v>0</v>
      </c>
      <c r="H177" s="4">
        <f t="shared" si="144"/>
        <v>0</v>
      </c>
      <c r="I177" s="4">
        <f t="shared" si="145"/>
        <v>0</v>
      </c>
      <c r="J177" s="4">
        <f t="shared" si="146"/>
        <v>0</v>
      </c>
      <c r="K177" s="4">
        <v>0</v>
      </c>
      <c r="L177" s="4">
        <f t="shared" si="147"/>
        <v>0</v>
      </c>
      <c r="M177" s="72" t="s">
        <v>643</v>
      </c>
      <c r="P177" s="23">
        <f t="shared" si="148"/>
        <v>0</v>
      </c>
      <c r="R177" s="23">
        <f t="shared" si="149"/>
        <v>0</v>
      </c>
      <c r="S177" s="23">
        <f t="shared" si="150"/>
        <v>0</v>
      </c>
      <c r="T177" s="23">
        <f t="shared" si="151"/>
        <v>0</v>
      </c>
      <c r="U177" s="23">
        <f t="shared" si="152"/>
        <v>0</v>
      </c>
      <c r="V177" s="23">
        <f t="shared" si="153"/>
        <v>0</v>
      </c>
      <c r="W177" s="23">
        <f t="shared" si="154"/>
        <v>0</v>
      </c>
      <c r="X177" s="23">
        <f t="shared" si="155"/>
        <v>0</v>
      </c>
      <c r="Y177" s="67" t="s">
        <v>175</v>
      </c>
      <c r="Z177" s="4">
        <f t="shared" si="156"/>
        <v>0</v>
      </c>
      <c r="AA177" s="4">
        <f t="shared" si="157"/>
        <v>0</v>
      </c>
      <c r="AB177" s="4">
        <f t="shared" si="158"/>
        <v>0</v>
      </c>
      <c r="AD177" s="23">
        <v>21</v>
      </c>
      <c r="AE177" s="23">
        <f t="shared" si="164"/>
        <v>0</v>
      </c>
      <c r="AF177" s="23">
        <f t="shared" si="165"/>
        <v>0</v>
      </c>
      <c r="AG177" s="72" t="s">
        <v>8</v>
      </c>
      <c r="AM177" s="23">
        <f t="shared" si="159"/>
        <v>0</v>
      </c>
      <c r="AN177" s="23">
        <f t="shared" si="160"/>
        <v>0</v>
      </c>
      <c r="AO177" s="75" t="s">
        <v>675</v>
      </c>
      <c r="AP177" s="75" t="s">
        <v>701</v>
      </c>
      <c r="AQ177" s="67" t="s">
        <v>712</v>
      </c>
      <c r="AS177" s="23">
        <f t="shared" si="161"/>
        <v>0</v>
      </c>
      <c r="AT177" s="23">
        <f t="shared" si="162"/>
        <v>0</v>
      </c>
      <c r="AU177" s="23">
        <v>0</v>
      </c>
      <c r="AV177" s="23">
        <f t="shared" si="163"/>
        <v>0</v>
      </c>
    </row>
    <row r="178" spans="1:48" ht="12.75">
      <c r="A178" s="1" t="s">
        <v>138</v>
      </c>
      <c r="B178" s="1" t="s">
        <v>175</v>
      </c>
      <c r="C178" s="1" t="s">
        <v>324</v>
      </c>
      <c r="D178" s="1" t="s">
        <v>514</v>
      </c>
      <c r="E178" s="1" t="s">
        <v>557</v>
      </c>
      <c r="F178" s="4">
        <f>'Rozpočet - vybrané sloupce'!BA177</f>
        <v>6</v>
      </c>
      <c r="G178" s="6">
        <f>'Rozpočet - vybrané sloupce'!BF177</f>
        <v>0</v>
      </c>
      <c r="H178" s="4">
        <f t="shared" si="144"/>
        <v>0</v>
      </c>
      <c r="I178" s="4">
        <f t="shared" si="145"/>
        <v>0</v>
      </c>
      <c r="J178" s="4">
        <f t="shared" si="146"/>
        <v>0</v>
      </c>
      <c r="K178" s="4">
        <v>0</v>
      </c>
      <c r="L178" s="4">
        <f t="shared" si="147"/>
        <v>0</v>
      </c>
      <c r="M178" s="72" t="s">
        <v>643</v>
      </c>
      <c r="P178" s="23">
        <f t="shared" si="148"/>
        <v>0</v>
      </c>
      <c r="R178" s="23">
        <f t="shared" si="149"/>
        <v>0</v>
      </c>
      <c r="S178" s="23">
        <f t="shared" si="150"/>
        <v>0</v>
      </c>
      <c r="T178" s="23">
        <f t="shared" si="151"/>
        <v>0</v>
      </c>
      <c r="U178" s="23">
        <f t="shared" si="152"/>
        <v>0</v>
      </c>
      <c r="V178" s="23">
        <f t="shared" si="153"/>
        <v>0</v>
      </c>
      <c r="W178" s="23">
        <f t="shared" si="154"/>
        <v>0</v>
      </c>
      <c r="X178" s="23">
        <f t="shared" si="155"/>
        <v>0</v>
      </c>
      <c r="Y178" s="67" t="s">
        <v>175</v>
      </c>
      <c r="Z178" s="4">
        <f t="shared" si="156"/>
        <v>0</v>
      </c>
      <c r="AA178" s="4">
        <f t="shared" si="157"/>
        <v>0</v>
      </c>
      <c r="AB178" s="4">
        <f t="shared" si="158"/>
        <v>0</v>
      </c>
      <c r="AD178" s="23">
        <v>21</v>
      </c>
      <c r="AE178" s="23">
        <f t="shared" si="164"/>
        <v>0</v>
      </c>
      <c r="AF178" s="23">
        <f t="shared" si="165"/>
        <v>0</v>
      </c>
      <c r="AG178" s="72" t="s">
        <v>8</v>
      </c>
      <c r="AM178" s="23">
        <f t="shared" si="159"/>
        <v>0</v>
      </c>
      <c r="AN178" s="23">
        <f t="shared" si="160"/>
        <v>0</v>
      </c>
      <c r="AO178" s="75" t="s">
        <v>675</v>
      </c>
      <c r="AP178" s="75" t="s">
        <v>701</v>
      </c>
      <c r="AQ178" s="67" t="s">
        <v>712</v>
      </c>
      <c r="AS178" s="23">
        <f t="shared" si="161"/>
        <v>0</v>
      </c>
      <c r="AT178" s="23">
        <f t="shared" si="162"/>
        <v>0</v>
      </c>
      <c r="AU178" s="23">
        <v>0</v>
      </c>
      <c r="AV178" s="23">
        <f t="shared" si="163"/>
        <v>0</v>
      </c>
    </row>
    <row r="179" spans="1:48" ht="12.75">
      <c r="A179" s="1" t="s">
        <v>139</v>
      </c>
      <c r="B179" s="1" t="s">
        <v>175</v>
      </c>
      <c r="C179" s="1" t="s">
        <v>325</v>
      </c>
      <c r="D179" s="1" t="s">
        <v>515</v>
      </c>
      <c r="E179" s="1" t="s">
        <v>557</v>
      </c>
      <c r="F179" s="4">
        <f>'Rozpočet - vybrané sloupce'!BA178</f>
        <v>5</v>
      </c>
      <c r="G179" s="6">
        <f>'Rozpočet - vybrané sloupce'!BF178</f>
        <v>0</v>
      </c>
      <c r="H179" s="4">
        <f t="shared" si="144"/>
        <v>0</v>
      </c>
      <c r="I179" s="4">
        <f t="shared" si="145"/>
        <v>0</v>
      </c>
      <c r="J179" s="4">
        <f t="shared" si="146"/>
        <v>0</v>
      </c>
      <c r="K179" s="4">
        <v>0</v>
      </c>
      <c r="L179" s="4">
        <f t="shared" si="147"/>
        <v>0</v>
      </c>
      <c r="M179" s="72" t="s">
        <v>643</v>
      </c>
      <c r="P179" s="23">
        <f t="shared" si="148"/>
        <v>0</v>
      </c>
      <c r="R179" s="23">
        <f t="shared" si="149"/>
        <v>0</v>
      </c>
      <c r="S179" s="23">
        <f t="shared" si="150"/>
        <v>0</v>
      </c>
      <c r="T179" s="23">
        <f t="shared" si="151"/>
        <v>0</v>
      </c>
      <c r="U179" s="23">
        <f t="shared" si="152"/>
        <v>0</v>
      </c>
      <c r="V179" s="23">
        <f t="shared" si="153"/>
        <v>0</v>
      </c>
      <c r="W179" s="23">
        <f t="shared" si="154"/>
        <v>0</v>
      </c>
      <c r="X179" s="23">
        <f t="shared" si="155"/>
        <v>0</v>
      </c>
      <c r="Y179" s="67" t="s">
        <v>175</v>
      </c>
      <c r="Z179" s="4">
        <f t="shared" si="156"/>
        <v>0</v>
      </c>
      <c r="AA179" s="4">
        <f t="shared" si="157"/>
        <v>0</v>
      </c>
      <c r="AB179" s="4">
        <f t="shared" si="158"/>
        <v>0</v>
      </c>
      <c r="AD179" s="23">
        <v>21</v>
      </c>
      <c r="AE179" s="23">
        <f t="shared" si="164"/>
        <v>0</v>
      </c>
      <c r="AF179" s="23">
        <f t="shared" si="165"/>
        <v>0</v>
      </c>
      <c r="AG179" s="72" t="s">
        <v>8</v>
      </c>
      <c r="AM179" s="23">
        <f t="shared" si="159"/>
        <v>0</v>
      </c>
      <c r="AN179" s="23">
        <f t="shared" si="160"/>
        <v>0</v>
      </c>
      <c r="AO179" s="75" t="s">
        <v>675</v>
      </c>
      <c r="AP179" s="75" t="s">
        <v>701</v>
      </c>
      <c r="AQ179" s="67" t="s">
        <v>712</v>
      </c>
      <c r="AS179" s="23">
        <f t="shared" si="161"/>
        <v>0</v>
      </c>
      <c r="AT179" s="23">
        <f t="shared" si="162"/>
        <v>0</v>
      </c>
      <c r="AU179" s="23">
        <v>0</v>
      </c>
      <c r="AV179" s="23">
        <f t="shared" si="163"/>
        <v>0</v>
      </c>
    </row>
    <row r="180" spans="1:48" ht="12.75">
      <c r="A180" s="1" t="s">
        <v>140</v>
      </c>
      <c r="B180" s="1" t="s">
        <v>175</v>
      </c>
      <c r="C180" s="1" t="s">
        <v>326</v>
      </c>
      <c r="D180" s="1" t="s">
        <v>516</v>
      </c>
      <c r="E180" s="1" t="s">
        <v>557</v>
      </c>
      <c r="F180" s="4">
        <f>'Rozpočet - vybrané sloupce'!BA179</f>
        <v>17</v>
      </c>
      <c r="G180" s="6">
        <f>'Rozpočet - vybrané sloupce'!BF179</f>
        <v>0</v>
      </c>
      <c r="H180" s="4">
        <f t="shared" si="144"/>
        <v>0</v>
      </c>
      <c r="I180" s="4">
        <f t="shared" si="145"/>
        <v>0</v>
      </c>
      <c r="J180" s="4">
        <f t="shared" si="146"/>
        <v>0</v>
      </c>
      <c r="K180" s="4">
        <v>0</v>
      </c>
      <c r="L180" s="4">
        <f t="shared" si="147"/>
        <v>0</v>
      </c>
      <c r="M180" s="72" t="s">
        <v>643</v>
      </c>
      <c r="P180" s="23">
        <f t="shared" si="148"/>
        <v>0</v>
      </c>
      <c r="R180" s="23">
        <f t="shared" si="149"/>
        <v>0</v>
      </c>
      <c r="S180" s="23">
        <f t="shared" si="150"/>
        <v>0</v>
      </c>
      <c r="T180" s="23">
        <f t="shared" si="151"/>
        <v>0</v>
      </c>
      <c r="U180" s="23">
        <f t="shared" si="152"/>
        <v>0</v>
      </c>
      <c r="V180" s="23">
        <f t="shared" si="153"/>
        <v>0</v>
      </c>
      <c r="W180" s="23">
        <f t="shared" si="154"/>
        <v>0</v>
      </c>
      <c r="X180" s="23">
        <f t="shared" si="155"/>
        <v>0</v>
      </c>
      <c r="Y180" s="67" t="s">
        <v>175</v>
      </c>
      <c r="Z180" s="4">
        <f t="shared" si="156"/>
        <v>0</v>
      </c>
      <c r="AA180" s="4">
        <f t="shared" si="157"/>
        <v>0</v>
      </c>
      <c r="AB180" s="4">
        <f t="shared" si="158"/>
        <v>0</v>
      </c>
      <c r="AD180" s="23">
        <v>21</v>
      </c>
      <c r="AE180" s="23">
        <f t="shared" si="164"/>
        <v>0</v>
      </c>
      <c r="AF180" s="23">
        <f t="shared" si="165"/>
        <v>0</v>
      </c>
      <c r="AG180" s="72" t="s">
        <v>8</v>
      </c>
      <c r="AM180" s="23">
        <f t="shared" si="159"/>
        <v>0</v>
      </c>
      <c r="AN180" s="23">
        <f t="shared" si="160"/>
        <v>0</v>
      </c>
      <c r="AO180" s="75" t="s">
        <v>675</v>
      </c>
      <c r="AP180" s="75" t="s">
        <v>701</v>
      </c>
      <c r="AQ180" s="67" t="s">
        <v>712</v>
      </c>
      <c r="AS180" s="23">
        <f t="shared" si="161"/>
        <v>0</v>
      </c>
      <c r="AT180" s="23">
        <f t="shared" si="162"/>
        <v>0</v>
      </c>
      <c r="AU180" s="23">
        <v>0</v>
      </c>
      <c r="AV180" s="23">
        <f t="shared" si="163"/>
        <v>0</v>
      </c>
    </row>
    <row r="181" spans="1:48" ht="12.75">
      <c r="A181" s="1" t="s">
        <v>141</v>
      </c>
      <c r="B181" s="1" t="s">
        <v>175</v>
      </c>
      <c r="C181" s="1" t="s">
        <v>327</v>
      </c>
      <c r="D181" s="1" t="s">
        <v>517</v>
      </c>
      <c r="E181" s="1" t="s">
        <v>557</v>
      </c>
      <c r="F181" s="4">
        <f>'Rozpočet - vybrané sloupce'!BA180</f>
        <v>13</v>
      </c>
      <c r="G181" s="6">
        <f>'Rozpočet - vybrané sloupce'!BF180</f>
        <v>0</v>
      </c>
      <c r="H181" s="4">
        <f t="shared" si="144"/>
        <v>0</v>
      </c>
      <c r="I181" s="4">
        <f t="shared" si="145"/>
        <v>0</v>
      </c>
      <c r="J181" s="4">
        <f t="shared" si="146"/>
        <v>0</v>
      </c>
      <c r="K181" s="4">
        <v>0</v>
      </c>
      <c r="L181" s="4">
        <f t="shared" si="147"/>
        <v>0</v>
      </c>
      <c r="M181" s="72" t="s">
        <v>643</v>
      </c>
      <c r="P181" s="23">
        <f t="shared" si="148"/>
        <v>0</v>
      </c>
      <c r="R181" s="23">
        <f t="shared" si="149"/>
        <v>0</v>
      </c>
      <c r="S181" s="23">
        <f t="shared" si="150"/>
        <v>0</v>
      </c>
      <c r="T181" s="23">
        <f t="shared" si="151"/>
        <v>0</v>
      </c>
      <c r="U181" s="23">
        <f t="shared" si="152"/>
        <v>0</v>
      </c>
      <c r="V181" s="23">
        <f t="shared" si="153"/>
        <v>0</v>
      </c>
      <c r="W181" s="23">
        <f t="shared" si="154"/>
        <v>0</v>
      </c>
      <c r="X181" s="23">
        <f t="shared" si="155"/>
        <v>0</v>
      </c>
      <c r="Y181" s="67" t="s">
        <v>175</v>
      </c>
      <c r="Z181" s="4">
        <f t="shared" si="156"/>
        <v>0</v>
      </c>
      <c r="AA181" s="4">
        <f t="shared" si="157"/>
        <v>0</v>
      </c>
      <c r="AB181" s="4">
        <f t="shared" si="158"/>
        <v>0</v>
      </c>
      <c r="AD181" s="23">
        <v>21</v>
      </c>
      <c r="AE181" s="23">
        <f t="shared" si="164"/>
        <v>0</v>
      </c>
      <c r="AF181" s="23">
        <f t="shared" si="165"/>
        <v>0</v>
      </c>
      <c r="AG181" s="72" t="s">
        <v>8</v>
      </c>
      <c r="AM181" s="23">
        <f t="shared" si="159"/>
        <v>0</v>
      </c>
      <c r="AN181" s="23">
        <f t="shared" si="160"/>
        <v>0</v>
      </c>
      <c r="AO181" s="75" t="s">
        <v>675</v>
      </c>
      <c r="AP181" s="75" t="s">
        <v>701</v>
      </c>
      <c r="AQ181" s="67" t="s">
        <v>712</v>
      </c>
      <c r="AS181" s="23">
        <f t="shared" si="161"/>
        <v>0</v>
      </c>
      <c r="AT181" s="23">
        <f t="shared" si="162"/>
        <v>0</v>
      </c>
      <c r="AU181" s="23">
        <v>0</v>
      </c>
      <c r="AV181" s="23">
        <f t="shared" si="163"/>
        <v>0</v>
      </c>
    </row>
    <row r="182" spans="1:48" ht="12.75">
      <c r="A182" s="1" t="s">
        <v>142</v>
      </c>
      <c r="B182" s="1" t="s">
        <v>175</v>
      </c>
      <c r="C182" s="1" t="s">
        <v>328</v>
      </c>
      <c r="D182" s="1" t="s">
        <v>518</v>
      </c>
      <c r="E182" s="1" t="s">
        <v>557</v>
      </c>
      <c r="F182" s="4">
        <f>'Rozpočet - vybrané sloupce'!BA181</f>
        <v>10</v>
      </c>
      <c r="G182" s="6">
        <f>'Rozpočet - vybrané sloupce'!BF181</f>
        <v>0</v>
      </c>
      <c r="H182" s="4">
        <f t="shared" si="144"/>
        <v>0</v>
      </c>
      <c r="I182" s="4">
        <f t="shared" si="145"/>
        <v>0</v>
      </c>
      <c r="J182" s="4">
        <f t="shared" si="146"/>
        <v>0</v>
      </c>
      <c r="K182" s="4">
        <v>0</v>
      </c>
      <c r="L182" s="4">
        <f t="shared" si="147"/>
        <v>0</v>
      </c>
      <c r="M182" s="72" t="s">
        <v>643</v>
      </c>
      <c r="P182" s="23">
        <f t="shared" si="148"/>
        <v>0</v>
      </c>
      <c r="R182" s="23">
        <f t="shared" si="149"/>
        <v>0</v>
      </c>
      <c r="S182" s="23">
        <f t="shared" si="150"/>
        <v>0</v>
      </c>
      <c r="T182" s="23">
        <f t="shared" si="151"/>
        <v>0</v>
      </c>
      <c r="U182" s="23">
        <f t="shared" si="152"/>
        <v>0</v>
      </c>
      <c r="V182" s="23">
        <f t="shared" si="153"/>
        <v>0</v>
      </c>
      <c r="W182" s="23">
        <f t="shared" si="154"/>
        <v>0</v>
      </c>
      <c r="X182" s="23">
        <f t="shared" si="155"/>
        <v>0</v>
      </c>
      <c r="Y182" s="67" t="s">
        <v>175</v>
      </c>
      <c r="Z182" s="4">
        <f t="shared" si="156"/>
        <v>0</v>
      </c>
      <c r="AA182" s="4">
        <f t="shared" si="157"/>
        <v>0</v>
      </c>
      <c r="AB182" s="4">
        <f t="shared" si="158"/>
        <v>0</v>
      </c>
      <c r="AD182" s="23">
        <v>21</v>
      </c>
      <c r="AE182" s="23">
        <f t="shared" si="164"/>
        <v>0</v>
      </c>
      <c r="AF182" s="23">
        <f t="shared" si="165"/>
        <v>0</v>
      </c>
      <c r="AG182" s="72" t="s">
        <v>8</v>
      </c>
      <c r="AM182" s="23">
        <f t="shared" si="159"/>
        <v>0</v>
      </c>
      <c r="AN182" s="23">
        <f t="shared" si="160"/>
        <v>0</v>
      </c>
      <c r="AO182" s="75" t="s">
        <v>675</v>
      </c>
      <c r="AP182" s="75" t="s">
        <v>701</v>
      </c>
      <c r="AQ182" s="67" t="s">
        <v>712</v>
      </c>
      <c r="AS182" s="23">
        <f t="shared" si="161"/>
        <v>0</v>
      </c>
      <c r="AT182" s="23">
        <f t="shared" si="162"/>
        <v>0</v>
      </c>
      <c r="AU182" s="23">
        <v>0</v>
      </c>
      <c r="AV182" s="23">
        <f t="shared" si="163"/>
        <v>0</v>
      </c>
    </row>
    <row r="183" spans="1:48" ht="12.75">
      <c r="A183" s="1" t="s">
        <v>143</v>
      </c>
      <c r="B183" s="1" t="s">
        <v>175</v>
      </c>
      <c r="C183" s="1" t="s">
        <v>329</v>
      </c>
      <c r="D183" s="1" t="s">
        <v>519</v>
      </c>
      <c r="E183" s="1" t="s">
        <v>557</v>
      </c>
      <c r="F183" s="4">
        <f>'Rozpočet - vybrané sloupce'!BA182</f>
        <v>1</v>
      </c>
      <c r="G183" s="6">
        <f>'Rozpočet - vybrané sloupce'!BF182</f>
        <v>0</v>
      </c>
      <c r="H183" s="4">
        <f t="shared" si="144"/>
        <v>0</v>
      </c>
      <c r="I183" s="4">
        <f t="shared" si="145"/>
        <v>0</v>
      </c>
      <c r="J183" s="4">
        <f t="shared" si="146"/>
        <v>0</v>
      </c>
      <c r="K183" s="4">
        <v>0</v>
      </c>
      <c r="L183" s="4">
        <f t="shared" si="147"/>
        <v>0</v>
      </c>
      <c r="M183" s="72" t="s">
        <v>643</v>
      </c>
      <c r="P183" s="23">
        <f t="shared" si="148"/>
        <v>0</v>
      </c>
      <c r="R183" s="23">
        <f t="shared" si="149"/>
        <v>0</v>
      </c>
      <c r="S183" s="23">
        <f t="shared" si="150"/>
        <v>0</v>
      </c>
      <c r="T183" s="23">
        <f t="shared" si="151"/>
        <v>0</v>
      </c>
      <c r="U183" s="23">
        <f t="shared" si="152"/>
        <v>0</v>
      </c>
      <c r="V183" s="23">
        <f t="shared" si="153"/>
        <v>0</v>
      </c>
      <c r="W183" s="23">
        <f t="shared" si="154"/>
        <v>0</v>
      </c>
      <c r="X183" s="23">
        <f t="shared" si="155"/>
        <v>0</v>
      </c>
      <c r="Y183" s="67" t="s">
        <v>175</v>
      </c>
      <c r="Z183" s="4">
        <f t="shared" si="156"/>
        <v>0</v>
      </c>
      <c r="AA183" s="4">
        <f t="shared" si="157"/>
        <v>0</v>
      </c>
      <c r="AB183" s="4">
        <f t="shared" si="158"/>
        <v>0</v>
      </c>
      <c r="AD183" s="23">
        <v>21</v>
      </c>
      <c r="AE183" s="23">
        <f t="shared" si="164"/>
        <v>0</v>
      </c>
      <c r="AF183" s="23">
        <f t="shared" si="165"/>
        <v>0</v>
      </c>
      <c r="AG183" s="72" t="s">
        <v>8</v>
      </c>
      <c r="AM183" s="23">
        <f t="shared" si="159"/>
        <v>0</v>
      </c>
      <c r="AN183" s="23">
        <f t="shared" si="160"/>
        <v>0</v>
      </c>
      <c r="AO183" s="75" t="s">
        <v>675</v>
      </c>
      <c r="AP183" s="75" t="s">
        <v>701</v>
      </c>
      <c r="AQ183" s="67" t="s">
        <v>712</v>
      </c>
      <c r="AS183" s="23">
        <f t="shared" si="161"/>
        <v>0</v>
      </c>
      <c r="AT183" s="23">
        <f t="shared" si="162"/>
        <v>0</v>
      </c>
      <c r="AU183" s="23">
        <v>0</v>
      </c>
      <c r="AV183" s="23">
        <f t="shared" si="163"/>
        <v>0</v>
      </c>
    </row>
    <row r="184" spans="1:48" ht="12.75">
      <c r="A184" s="1" t="s">
        <v>144</v>
      </c>
      <c r="B184" s="1" t="s">
        <v>175</v>
      </c>
      <c r="C184" s="1" t="s">
        <v>330</v>
      </c>
      <c r="D184" s="1" t="s">
        <v>520</v>
      </c>
      <c r="E184" s="1" t="s">
        <v>558</v>
      </c>
      <c r="F184" s="4">
        <f>'Rozpočet - vybrané sloupce'!BA183</f>
        <v>1</v>
      </c>
      <c r="G184" s="6">
        <f>'Rozpočet - vybrané sloupce'!BF183</f>
        <v>0</v>
      </c>
      <c r="H184" s="4">
        <f t="shared" si="144"/>
        <v>0</v>
      </c>
      <c r="I184" s="4">
        <f t="shared" si="145"/>
        <v>0</v>
      </c>
      <c r="J184" s="4">
        <f t="shared" si="146"/>
        <v>0</v>
      </c>
      <c r="K184" s="4">
        <v>0</v>
      </c>
      <c r="L184" s="4">
        <f t="shared" si="147"/>
        <v>0</v>
      </c>
      <c r="M184" s="72" t="s">
        <v>643</v>
      </c>
      <c r="P184" s="23">
        <f t="shared" si="148"/>
        <v>0</v>
      </c>
      <c r="R184" s="23">
        <f t="shared" si="149"/>
        <v>0</v>
      </c>
      <c r="S184" s="23">
        <f t="shared" si="150"/>
        <v>0</v>
      </c>
      <c r="T184" s="23">
        <f t="shared" si="151"/>
        <v>0</v>
      </c>
      <c r="U184" s="23">
        <f t="shared" si="152"/>
        <v>0</v>
      </c>
      <c r="V184" s="23">
        <f t="shared" si="153"/>
        <v>0</v>
      </c>
      <c r="W184" s="23">
        <f t="shared" si="154"/>
        <v>0</v>
      </c>
      <c r="X184" s="23">
        <f t="shared" si="155"/>
        <v>0</v>
      </c>
      <c r="Y184" s="67" t="s">
        <v>175</v>
      </c>
      <c r="Z184" s="4">
        <f t="shared" si="156"/>
        <v>0</v>
      </c>
      <c r="AA184" s="4">
        <f t="shared" si="157"/>
        <v>0</v>
      </c>
      <c r="AB184" s="4">
        <f t="shared" si="158"/>
        <v>0</v>
      </c>
      <c r="AD184" s="23">
        <v>21</v>
      </c>
      <c r="AE184" s="23">
        <f t="shared" si="164"/>
        <v>0</v>
      </c>
      <c r="AF184" s="23">
        <f t="shared" si="165"/>
        <v>0</v>
      </c>
      <c r="AG184" s="72" t="s">
        <v>8</v>
      </c>
      <c r="AM184" s="23">
        <f t="shared" si="159"/>
        <v>0</v>
      </c>
      <c r="AN184" s="23">
        <f t="shared" si="160"/>
        <v>0</v>
      </c>
      <c r="AO184" s="75" t="s">
        <v>675</v>
      </c>
      <c r="AP184" s="75" t="s">
        <v>701</v>
      </c>
      <c r="AQ184" s="67" t="s">
        <v>712</v>
      </c>
      <c r="AS184" s="23">
        <f t="shared" si="161"/>
        <v>0</v>
      </c>
      <c r="AT184" s="23">
        <f t="shared" si="162"/>
        <v>0</v>
      </c>
      <c r="AU184" s="23">
        <v>0</v>
      </c>
      <c r="AV184" s="23">
        <f t="shared" si="163"/>
        <v>0</v>
      </c>
    </row>
    <row r="185" spans="1:48" ht="12.75">
      <c r="A185" s="1" t="s">
        <v>145</v>
      </c>
      <c r="B185" s="1" t="s">
        <v>175</v>
      </c>
      <c r="C185" s="1" t="s">
        <v>331</v>
      </c>
      <c r="D185" s="1" t="s">
        <v>521</v>
      </c>
      <c r="E185" s="1" t="s">
        <v>557</v>
      </c>
      <c r="F185" s="4">
        <f>'Rozpočet - vybrané sloupce'!BA184</f>
        <v>1</v>
      </c>
      <c r="G185" s="6">
        <f>'Rozpočet - vybrané sloupce'!BF184</f>
        <v>0</v>
      </c>
      <c r="H185" s="4">
        <f t="shared" si="144"/>
        <v>0</v>
      </c>
      <c r="I185" s="4">
        <f t="shared" si="145"/>
        <v>0</v>
      </c>
      <c r="J185" s="4">
        <f t="shared" si="146"/>
        <v>0</v>
      </c>
      <c r="K185" s="4">
        <v>0</v>
      </c>
      <c r="L185" s="4">
        <f t="shared" si="147"/>
        <v>0</v>
      </c>
      <c r="M185" s="72" t="s">
        <v>643</v>
      </c>
      <c r="P185" s="23">
        <f t="shared" si="148"/>
        <v>0</v>
      </c>
      <c r="R185" s="23">
        <f t="shared" si="149"/>
        <v>0</v>
      </c>
      <c r="S185" s="23">
        <f t="shared" si="150"/>
        <v>0</v>
      </c>
      <c r="T185" s="23">
        <f t="shared" si="151"/>
        <v>0</v>
      </c>
      <c r="U185" s="23">
        <f t="shared" si="152"/>
        <v>0</v>
      </c>
      <c r="V185" s="23">
        <f t="shared" si="153"/>
        <v>0</v>
      </c>
      <c r="W185" s="23">
        <f t="shared" si="154"/>
        <v>0</v>
      </c>
      <c r="X185" s="23">
        <f t="shared" si="155"/>
        <v>0</v>
      </c>
      <c r="Y185" s="67" t="s">
        <v>175</v>
      </c>
      <c r="Z185" s="4">
        <f t="shared" si="156"/>
        <v>0</v>
      </c>
      <c r="AA185" s="4">
        <f t="shared" si="157"/>
        <v>0</v>
      </c>
      <c r="AB185" s="4">
        <f t="shared" si="158"/>
        <v>0</v>
      </c>
      <c r="AD185" s="23">
        <v>21</v>
      </c>
      <c r="AE185" s="23">
        <f t="shared" si="164"/>
        <v>0</v>
      </c>
      <c r="AF185" s="23">
        <f t="shared" si="165"/>
        <v>0</v>
      </c>
      <c r="AG185" s="72" t="s">
        <v>8</v>
      </c>
      <c r="AM185" s="23">
        <f t="shared" si="159"/>
        <v>0</v>
      </c>
      <c r="AN185" s="23">
        <f t="shared" si="160"/>
        <v>0</v>
      </c>
      <c r="AO185" s="75" t="s">
        <v>675</v>
      </c>
      <c r="AP185" s="75" t="s">
        <v>701</v>
      </c>
      <c r="AQ185" s="67" t="s">
        <v>712</v>
      </c>
      <c r="AS185" s="23">
        <f t="shared" si="161"/>
        <v>0</v>
      </c>
      <c r="AT185" s="23">
        <f t="shared" si="162"/>
        <v>0</v>
      </c>
      <c r="AU185" s="23">
        <v>0</v>
      </c>
      <c r="AV185" s="23">
        <f t="shared" si="163"/>
        <v>0</v>
      </c>
    </row>
    <row r="186" spans="1:48" ht="12.75">
      <c r="A186" s="1" t="s">
        <v>146</v>
      </c>
      <c r="B186" s="1" t="s">
        <v>175</v>
      </c>
      <c r="C186" s="1" t="s">
        <v>332</v>
      </c>
      <c r="D186" s="1" t="s">
        <v>522</v>
      </c>
      <c r="E186" s="1" t="s">
        <v>557</v>
      </c>
      <c r="F186" s="4">
        <f>'Rozpočet - vybrané sloupce'!BA185</f>
        <v>1</v>
      </c>
      <c r="G186" s="6">
        <f>'Rozpočet - vybrané sloupce'!BF185</f>
        <v>0</v>
      </c>
      <c r="H186" s="4">
        <f t="shared" si="144"/>
        <v>0</v>
      </c>
      <c r="I186" s="4">
        <f t="shared" si="145"/>
        <v>0</v>
      </c>
      <c r="J186" s="4">
        <f t="shared" si="146"/>
        <v>0</v>
      </c>
      <c r="K186" s="4">
        <v>0</v>
      </c>
      <c r="L186" s="4">
        <f t="shared" si="147"/>
        <v>0</v>
      </c>
      <c r="M186" s="72" t="s">
        <v>643</v>
      </c>
      <c r="P186" s="23">
        <f t="shared" si="148"/>
        <v>0</v>
      </c>
      <c r="R186" s="23">
        <f t="shared" si="149"/>
        <v>0</v>
      </c>
      <c r="S186" s="23">
        <f t="shared" si="150"/>
        <v>0</v>
      </c>
      <c r="T186" s="23">
        <f t="shared" si="151"/>
        <v>0</v>
      </c>
      <c r="U186" s="23">
        <f t="shared" si="152"/>
        <v>0</v>
      </c>
      <c r="V186" s="23">
        <f t="shared" si="153"/>
        <v>0</v>
      </c>
      <c r="W186" s="23">
        <f t="shared" si="154"/>
        <v>0</v>
      </c>
      <c r="X186" s="23">
        <f t="shared" si="155"/>
        <v>0</v>
      </c>
      <c r="Y186" s="67" t="s">
        <v>175</v>
      </c>
      <c r="Z186" s="4">
        <f t="shared" si="156"/>
        <v>0</v>
      </c>
      <c r="AA186" s="4">
        <f t="shared" si="157"/>
        <v>0</v>
      </c>
      <c r="AB186" s="4">
        <f t="shared" si="158"/>
        <v>0</v>
      </c>
      <c r="AD186" s="23">
        <v>21</v>
      </c>
      <c r="AE186" s="23">
        <f t="shared" si="164"/>
        <v>0</v>
      </c>
      <c r="AF186" s="23">
        <f t="shared" si="165"/>
        <v>0</v>
      </c>
      <c r="AG186" s="72" t="s">
        <v>8</v>
      </c>
      <c r="AM186" s="23">
        <f t="shared" si="159"/>
        <v>0</v>
      </c>
      <c r="AN186" s="23">
        <f t="shared" si="160"/>
        <v>0</v>
      </c>
      <c r="AO186" s="75" t="s">
        <v>675</v>
      </c>
      <c r="AP186" s="75" t="s">
        <v>701</v>
      </c>
      <c r="AQ186" s="67" t="s">
        <v>712</v>
      </c>
      <c r="AS186" s="23">
        <f t="shared" si="161"/>
        <v>0</v>
      </c>
      <c r="AT186" s="23">
        <f t="shared" si="162"/>
        <v>0</v>
      </c>
      <c r="AU186" s="23">
        <v>0</v>
      </c>
      <c r="AV186" s="23">
        <f t="shared" si="163"/>
        <v>0</v>
      </c>
    </row>
    <row r="187" spans="1:48" ht="12.75">
      <c r="A187" s="1" t="s">
        <v>147</v>
      </c>
      <c r="B187" s="1" t="s">
        <v>175</v>
      </c>
      <c r="C187" s="1" t="s">
        <v>333</v>
      </c>
      <c r="D187" s="1" t="s">
        <v>523</v>
      </c>
      <c r="E187" s="1" t="s">
        <v>558</v>
      </c>
      <c r="F187" s="4">
        <f>'Rozpočet - vybrané sloupce'!BA186</f>
        <v>1</v>
      </c>
      <c r="G187" s="6">
        <f>'Rozpočet - vybrané sloupce'!BF186</f>
        <v>0</v>
      </c>
      <c r="H187" s="4">
        <f t="shared" si="144"/>
        <v>0</v>
      </c>
      <c r="I187" s="4">
        <f t="shared" si="145"/>
        <v>0</v>
      </c>
      <c r="J187" s="4">
        <f t="shared" si="146"/>
        <v>0</v>
      </c>
      <c r="K187" s="4">
        <v>0</v>
      </c>
      <c r="L187" s="4">
        <f t="shared" si="147"/>
        <v>0</v>
      </c>
      <c r="M187" s="72" t="s">
        <v>643</v>
      </c>
      <c r="P187" s="23">
        <f t="shared" si="148"/>
        <v>0</v>
      </c>
      <c r="R187" s="23">
        <f t="shared" si="149"/>
        <v>0</v>
      </c>
      <c r="S187" s="23">
        <f t="shared" si="150"/>
        <v>0</v>
      </c>
      <c r="T187" s="23">
        <f t="shared" si="151"/>
        <v>0</v>
      </c>
      <c r="U187" s="23">
        <f t="shared" si="152"/>
        <v>0</v>
      </c>
      <c r="V187" s="23">
        <f t="shared" si="153"/>
        <v>0</v>
      </c>
      <c r="W187" s="23">
        <f t="shared" si="154"/>
        <v>0</v>
      </c>
      <c r="X187" s="23">
        <f t="shared" si="155"/>
        <v>0</v>
      </c>
      <c r="Y187" s="67" t="s">
        <v>175</v>
      </c>
      <c r="Z187" s="4">
        <f t="shared" si="156"/>
        <v>0</v>
      </c>
      <c r="AA187" s="4">
        <f t="shared" si="157"/>
        <v>0</v>
      </c>
      <c r="AB187" s="4">
        <f t="shared" si="158"/>
        <v>0</v>
      </c>
      <c r="AD187" s="23">
        <v>21</v>
      </c>
      <c r="AE187" s="23">
        <f>G187*0</f>
        <v>0</v>
      </c>
      <c r="AF187" s="23">
        <f>G187*(1-0)</f>
        <v>0</v>
      </c>
      <c r="AG187" s="72" t="s">
        <v>8</v>
      </c>
      <c r="AM187" s="23">
        <f t="shared" si="159"/>
        <v>0</v>
      </c>
      <c r="AN187" s="23">
        <f t="shared" si="160"/>
        <v>0</v>
      </c>
      <c r="AO187" s="75" t="s">
        <v>675</v>
      </c>
      <c r="AP187" s="75" t="s">
        <v>701</v>
      </c>
      <c r="AQ187" s="67" t="s">
        <v>712</v>
      </c>
      <c r="AS187" s="23">
        <f t="shared" si="161"/>
        <v>0</v>
      </c>
      <c r="AT187" s="23">
        <f t="shared" si="162"/>
        <v>0</v>
      </c>
      <c r="AU187" s="23">
        <v>0</v>
      </c>
      <c r="AV187" s="23">
        <f t="shared" si="163"/>
        <v>0</v>
      </c>
    </row>
    <row r="188" spans="1:37" ht="12.75">
      <c r="A188" s="52"/>
      <c r="B188" s="58" t="s">
        <v>175</v>
      </c>
      <c r="C188" s="58"/>
      <c r="D188" s="58" t="s">
        <v>450</v>
      </c>
      <c r="E188" s="52" t="s">
        <v>6</v>
      </c>
      <c r="F188" s="52" t="s">
        <v>6</v>
      </c>
      <c r="G188" s="64" t="s">
        <v>6</v>
      </c>
      <c r="H188" s="9">
        <f>SUM(H189:H189)</f>
        <v>0</v>
      </c>
      <c r="I188" s="9">
        <f>SUM(I189:I189)</f>
        <v>0</v>
      </c>
      <c r="J188" s="9">
        <f>H188+I188</f>
        <v>0</v>
      </c>
      <c r="K188" s="67"/>
      <c r="L188" s="9">
        <f>SUM(L189:L189)</f>
        <v>0.0021</v>
      </c>
      <c r="M188" s="67"/>
      <c r="Y188" s="67" t="s">
        <v>175</v>
      </c>
      <c r="AI188" s="9">
        <f>SUM(Z189:Z189)</f>
        <v>0</v>
      </c>
      <c r="AJ188" s="9">
        <f>SUM(AA189:AA189)</f>
        <v>0</v>
      </c>
      <c r="AK188" s="9">
        <f>SUM(AB189:AB189)</f>
        <v>0</v>
      </c>
    </row>
    <row r="189" spans="1:48" ht="12.75">
      <c r="A189" s="2" t="s">
        <v>148</v>
      </c>
      <c r="B189" s="2" t="s">
        <v>175</v>
      </c>
      <c r="C189" s="2" t="s">
        <v>334</v>
      </c>
      <c r="D189" s="2" t="s">
        <v>524</v>
      </c>
      <c r="E189" s="2" t="s">
        <v>555</v>
      </c>
      <c r="F189" s="5">
        <f>'Rozpočet - vybrané sloupce'!BA188</f>
        <v>3</v>
      </c>
      <c r="G189" s="7">
        <f>'Rozpočet - vybrané sloupce'!BF188</f>
        <v>0</v>
      </c>
      <c r="H189" s="5">
        <f>F189*AE189</f>
        <v>0</v>
      </c>
      <c r="I189" s="5">
        <f>J189-H189</f>
        <v>0</v>
      </c>
      <c r="J189" s="5">
        <f>F189*G189</f>
        <v>0</v>
      </c>
      <c r="K189" s="5">
        <v>0.0007</v>
      </c>
      <c r="L189" s="5">
        <f>F189*K189</f>
        <v>0.0021</v>
      </c>
      <c r="M189" s="73" t="s">
        <v>643</v>
      </c>
      <c r="P189" s="23">
        <f>IF(AG189="5",J189,0)</f>
        <v>0</v>
      </c>
      <c r="R189" s="23">
        <f>IF(AG189="1",H189,0)</f>
        <v>0</v>
      </c>
      <c r="S189" s="23">
        <f>IF(AG189="1",I189,0)</f>
        <v>0</v>
      </c>
      <c r="T189" s="23">
        <f>IF(AG189="7",H189,0)</f>
        <v>0</v>
      </c>
      <c r="U189" s="23">
        <f>IF(AG189="7",I189,0)</f>
        <v>0</v>
      </c>
      <c r="V189" s="23">
        <f>IF(AG189="2",H189,0)</f>
        <v>0</v>
      </c>
      <c r="W189" s="23">
        <f>IF(AG189="2",I189,0)</f>
        <v>0</v>
      </c>
      <c r="X189" s="23">
        <f>IF(AG189="0",J189,0)</f>
        <v>0</v>
      </c>
      <c r="Y189" s="67" t="s">
        <v>175</v>
      </c>
      <c r="Z189" s="5">
        <f>IF(AD189=0,J189,0)</f>
        <v>0</v>
      </c>
      <c r="AA189" s="5">
        <f>IF(AD189=15,J189,0)</f>
        <v>0</v>
      </c>
      <c r="AB189" s="5">
        <f>IF(AD189=21,J189,0)</f>
        <v>0</v>
      </c>
      <c r="AD189" s="23">
        <v>21</v>
      </c>
      <c r="AE189" s="23">
        <f>G189*1</f>
        <v>0</v>
      </c>
      <c r="AF189" s="23">
        <f>G189*(1-1)</f>
        <v>0</v>
      </c>
      <c r="AG189" s="73" t="s">
        <v>653</v>
      </c>
      <c r="AM189" s="23">
        <f>F189*AE189</f>
        <v>0</v>
      </c>
      <c r="AN189" s="23">
        <f>F189*AF189</f>
        <v>0</v>
      </c>
      <c r="AO189" s="75" t="s">
        <v>677</v>
      </c>
      <c r="AP189" s="75" t="s">
        <v>702</v>
      </c>
      <c r="AQ189" s="67" t="s">
        <v>712</v>
      </c>
      <c r="AS189" s="23">
        <f>AM189+AN189</f>
        <v>0</v>
      </c>
      <c r="AT189" s="23">
        <f>G189/(100-AU189)*100</f>
        <v>0</v>
      </c>
      <c r="AU189" s="23">
        <v>0</v>
      </c>
      <c r="AV189" s="23">
        <f>L189</f>
        <v>0.0021</v>
      </c>
    </row>
    <row r="190" spans="1:13" ht="12.75">
      <c r="A190" s="53"/>
      <c r="B190" s="59" t="s">
        <v>176</v>
      </c>
      <c r="C190" s="59"/>
      <c r="D190" s="59" t="s">
        <v>525</v>
      </c>
      <c r="E190" s="53" t="s">
        <v>6</v>
      </c>
      <c r="F190" s="53" t="s">
        <v>6</v>
      </c>
      <c r="G190" s="65" t="s">
        <v>6</v>
      </c>
      <c r="H190" s="78">
        <f>H191+H194+H199+H202+H204+H207+H209+H212+H215+H220</f>
        <v>0</v>
      </c>
      <c r="I190" s="78">
        <f>I191+I194+I199+I202+I204+I207+I209+I212+I215+I220</f>
        <v>0</v>
      </c>
      <c r="J190" s="78">
        <f>H190+I190</f>
        <v>0</v>
      </c>
      <c r="K190" s="68"/>
      <c r="L190" s="78">
        <f>L191+L194+L199+L202+L204+L207+L209+L212+L215+L220</f>
        <v>17.3035545</v>
      </c>
      <c r="M190" s="68"/>
    </row>
    <row r="191" spans="1:37" ht="12.75">
      <c r="A191" s="52"/>
      <c r="B191" s="58" t="s">
        <v>176</v>
      </c>
      <c r="C191" s="58" t="s">
        <v>19</v>
      </c>
      <c r="D191" s="58" t="s">
        <v>350</v>
      </c>
      <c r="E191" s="52" t="s">
        <v>6</v>
      </c>
      <c r="F191" s="52" t="s">
        <v>6</v>
      </c>
      <c r="G191" s="64" t="s">
        <v>6</v>
      </c>
      <c r="H191" s="9">
        <f>SUM(H192:H193)</f>
        <v>0</v>
      </c>
      <c r="I191" s="9">
        <f>SUM(I192:I193)</f>
        <v>0</v>
      </c>
      <c r="J191" s="9">
        <f>H191+I191</f>
        <v>0</v>
      </c>
      <c r="K191" s="67"/>
      <c r="L191" s="9">
        <f>SUM(L192:L193)</f>
        <v>0</v>
      </c>
      <c r="M191" s="67"/>
      <c r="Y191" s="67" t="s">
        <v>176</v>
      </c>
      <c r="AI191" s="9">
        <f>SUM(Z192:Z193)</f>
        <v>0</v>
      </c>
      <c r="AJ191" s="9">
        <f>SUM(AA192:AA193)</f>
        <v>0</v>
      </c>
      <c r="AK191" s="9">
        <f>SUM(AB192:AB193)</f>
        <v>0</v>
      </c>
    </row>
    <row r="192" spans="1:48" ht="12.75">
      <c r="A192" s="1" t="s">
        <v>149</v>
      </c>
      <c r="B192" s="1" t="s">
        <v>176</v>
      </c>
      <c r="C192" s="1" t="s">
        <v>335</v>
      </c>
      <c r="D192" s="1" t="s">
        <v>526</v>
      </c>
      <c r="E192" s="1" t="s">
        <v>552</v>
      </c>
      <c r="F192" s="4">
        <f>'Rozpočet - vybrané sloupce'!BA191</f>
        <v>32.61</v>
      </c>
      <c r="G192" s="6">
        <f>'Rozpočet - vybrané sloupce'!BF191</f>
        <v>0</v>
      </c>
      <c r="H192" s="4">
        <f>F192*AE192</f>
        <v>0</v>
      </c>
      <c r="I192" s="4">
        <f>J192-H192</f>
        <v>0</v>
      </c>
      <c r="J192" s="4">
        <f>F192*G192</f>
        <v>0</v>
      </c>
      <c r="K192" s="4">
        <v>0</v>
      </c>
      <c r="L192" s="4">
        <f>F192*K192</f>
        <v>0</v>
      </c>
      <c r="M192" s="72" t="s">
        <v>643</v>
      </c>
      <c r="P192" s="23">
        <f>IF(AG192="5",J192,0)</f>
        <v>0</v>
      </c>
      <c r="R192" s="23">
        <f>IF(AG192="1",H192,0)</f>
        <v>0</v>
      </c>
      <c r="S192" s="23">
        <f>IF(AG192="1",I192,0)</f>
        <v>0</v>
      </c>
      <c r="T192" s="23">
        <f>IF(AG192="7",H192,0)</f>
        <v>0</v>
      </c>
      <c r="U192" s="23">
        <f>IF(AG192="7",I192,0)</f>
        <v>0</v>
      </c>
      <c r="V192" s="23">
        <f>IF(AG192="2",H192,0)</f>
        <v>0</v>
      </c>
      <c r="W192" s="23">
        <f>IF(AG192="2",I192,0)</f>
        <v>0</v>
      </c>
      <c r="X192" s="23">
        <f>IF(AG192="0",J192,0)</f>
        <v>0</v>
      </c>
      <c r="Y192" s="67" t="s">
        <v>176</v>
      </c>
      <c r="Z192" s="4">
        <f>IF(AD192=0,J192,0)</f>
        <v>0</v>
      </c>
      <c r="AA192" s="4">
        <f>IF(AD192=15,J192,0)</f>
        <v>0</v>
      </c>
      <c r="AB192" s="4">
        <f>IF(AD192=21,J192,0)</f>
        <v>0</v>
      </c>
      <c r="AD192" s="23">
        <v>21</v>
      </c>
      <c r="AE192" s="23">
        <f>G192*0</f>
        <v>0</v>
      </c>
      <c r="AF192" s="23">
        <f>G192*(1-0)</f>
        <v>0</v>
      </c>
      <c r="AG192" s="72" t="s">
        <v>7</v>
      </c>
      <c r="AM192" s="23">
        <f>F192*AE192</f>
        <v>0</v>
      </c>
      <c r="AN192" s="23">
        <f>F192*AF192</f>
        <v>0</v>
      </c>
      <c r="AO192" s="75" t="s">
        <v>654</v>
      </c>
      <c r="AP192" s="75" t="s">
        <v>703</v>
      </c>
      <c r="AQ192" s="67" t="s">
        <v>713</v>
      </c>
      <c r="AS192" s="23">
        <f>AM192+AN192</f>
        <v>0</v>
      </c>
      <c r="AT192" s="23">
        <f>G192/(100-AU192)*100</f>
        <v>0</v>
      </c>
      <c r="AU192" s="23">
        <v>0</v>
      </c>
      <c r="AV192" s="23">
        <f>L192</f>
        <v>0</v>
      </c>
    </row>
    <row r="193" spans="1:48" ht="12.75">
      <c r="A193" s="1" t="s">
        <v>150</v>
      </c>
      <c r="B193" s="1" t="s">
        <v>176</v>
      </c>
      <c r="C193" s="1" t="s">
        <v>336</v>
      </c>
      <c r="D193" s="1" t="s">
        <v>527</v>
      </c>
      <c r="E193" s="1" t="s">
        <v>552</v>
      </c>
      <c r="F193" s="4">
        <f>'Rozpočet - vybrané sloupce'!BA192</f>
        <v>23.5</v>
      </c>
      <c r="G193" s="6">
        <f>'Rozpočet - vybrané sloupce'!BF192</f>
        <v>0</v>
      </c>
      <c r="H193" s="4">
        <f>F193*AE193</f>
        <v>0</v>
      </c>
      <c r="I193" s="4">
        <f>J193-H193</f>
        <v>0</v>
      </c>
      <c r="J193" s="4">
        <f>F193*G193</f>
        <v>0</v>
      </c>
      <c r="K193" s="4">
        <v>0</v>
      </c>
      <c r="L193" s="4">
        <f>F193*K193</f>
        <v>0</v>
      </c>
      <c r="M193" s="72" t="s">
        <v>643</v>
      </c>
      <c r="P193" s="23">
        <f>IF(AG193="5",J193,0)</f>
        <v>0</v>
      </c>
      <c r="R193" s="23">
        <f>IF(AG193="1",H193,0)</f>
        <v>0</v>
      </c>
      <c r="S193" s="23">
        <f>IF(AG193="1",I193,0)</f>
        <v>0</v>
      </c>
      <c r="T193" s="23">
        <f>IF(AG193="7",H193,0)</f>
        <v>0</v>
      </c>
      <c r="U193" s="23">
        <f>IF(AG193="7",I193,0)</f>
        <v>0</v>
      </c>
      <c r="V193" s="23">
        <f>IF(AG193="2",H193,0)</f>
        <v>0</v>
      </c>
      <c r="W193" s="23">
        <f>IF(AG193="2",I193,0)</f>
        <v>0</v>
      </c>
      <c r="X193" s="23">
        <f>IF(AG193="0",J193,0)</f>
        <v>0</v>
      </c>
      <c r="Y193" s="67" t="s">
        <v>176</v>
      </c>
      <c r="Z193" s="4">
        <f>IF(AD193=0,J193,0)</f>
        <v>0</v>
      </c>
      <c r="AA193" s="4">
        <f>IF(AD193=15,J193,0)</f>
        <v>0</v>
      </c>
      <c r="AB193" s="4">
        <f>IF(AD193=21,J193,0)</f>
        <v>0</v>
      </c>
      <c r="AD193" s="23">
        <v>21</v>
      </c>
      <c r="AE193" s="23">
        <f>G193*0</f>
        <v>0</v>
      </c>
      <c r="AF193" s="23">
        <f>G193*(1-0)</f>
        <v>0</v>
      </c>
      <c r="AG193" s="72" t="s">
        <v>7</v>
      </c>
      <c r="AM193" s="23">
        <f>F193*AE193</f>
        <v>0</v>
      </c>
      <c r="AN193" s="23">
        <f>F193*AF193</f>
        <v>0</v>
      </c>
      <c r="AO193" s="75" t="s">
        <v>654</v>
      </c>
      <c r="AP193" s="75" t="s">
        <v>703</v>
      </c>
      <c r="AQ193" s="67" t="s">
        <v>713</v>
      </c>
      <c r="AS193" s="23">
        <f>AM193+AN193</f>
        <v>0</v>
      </c>
      <c r="AT193" s="23">
        <f>G193/(100-AU193)*100</f>
        <v>0</v>
      </c>
      <c r="AU193" s="23">
        <v>0</v>
      </c>
      <c r="AV193" s="23">
        <f>L193</f>
        <v>0</v>
      </c>
    </row>
    <row r="194" spans="1:37" ht="12.75">
      <c r="A194" s="52"/>
      <c r="B194" s="58" t="s">
        <v>176</v>
      </c>
      <c r="C194" s="58" t="s">
        <v>22</v>
      </c>
      <c r="D194" s="58" t="s">
        <v>353</v>
      </c>
      <c r="E194" s="52" t="s">
        <v>6</v>
      </c>
      <c r="F194" s="52" t="s">
        <v>6</v>
      </c>
      <c r="G194" s="64" t="s">
        <v>6</v>
      </c>
      <c r="H194" s="9">
        <f>SUM(H195:H198)</f>
        <v>0</v>
      </c>
      <c r="I194" s="9">
        <f>SUM(I195:I198)</f>
        <v>0</v>
      </c>
      <c r="J194" s="9">
        <f>H194+I194</f>
        <v>0</v>
      </c>
      <c r="K194" s="67"/>
      <c r="L194" s="9">
        <f>SUM(L195:L198)</f>
        <v>0</v>
      </c>
      <c r="M194" s="67"/>
      <c r="Y194" s="67" t="s">
        <v>176</v>
      </c>
      <c r="AI194" s="9">
        <f>SUM(Z195:Z198)</f>
        <v>0</v>
      </c>
      <c r="AJ194" s="9">
        <f>SUM(AA195:AA198)</f>
        <v>0</v>
      </c>
      <c r="AK194" s="9">
        <f>SUM(AB195:AB198)</f>
        <v>0</v>
      </c>
    </row>
    <row r="195" spans="1:48" ht="12.75">
      <c r="A195" s="1" t="s">
        <v>151</v>
      </c>
      <c r="B195" s="1" t="s">
        <v>176</v>
      </c>
      <c r="C195" s="1" t="s">
        <v>180</v>
      </c>
      <c r="D195" s="1" t="s">
        <v>354</v>
      </c>
      <c r="E195" s="1" t="s">
        <v>552</v>
      </c>
      <c r="F195" s="4">
        <f>'Rozpočet - vybrané sloupce'!BA194</f>
        <v>23.25</v>
      </c>
      <c r="G195" s="6">
        <f>'Rozpočet - vybrané sloupce'!BF194</f>
        <v>0</v>
      </c>
      <c r="H195" s="4">
        <f>F195*AE195</f>
        <v>0</v>
      </c>
      <c r="I195" s="4">
        <f>J195-H195</f>
        <v>0</v>
      </c>
      <c r="J195" s="4">
        <f>F195*G195</f>
        <v>0</v>
      </c>
      <c r="K195" s="4">
        <v>0</v>
      </c>
      <c r="L195" s="4">
        <f>F195*K195</f>
        <v>0</v>
      </c>
      <c r="M195" s="72" t="s">
        <v>643</v>
      </c>
      <c r="P195" s="23">
        <f>IF(AG195="5",J195,0)</f>
        <v>0</v>
      </c>
      <c r="R195" s="23">
        <f>IF(AG195="1",H195,0)</f>
        <v>0</v>
      </c>
      <c r="S195" s="23">
        <f>IF(AG195="1",I195,0)</f>
        <v>0</v>
      </c>
      <c r="T195" s="23">
        <f>IF(AG195="7",H195,0)</f>
        <v>0</v>
      </c>
      <c r="U195" s="23">
        <f>IF(AG195="7",I195,0)</f>
        <v>0</v>
      </c>
      <c r="V195" s="23">
        <f>IF(AG195="2",H195,0)</f>
        <v>0</v>
      </c>
      <c r="W195" s="23">
        <f>IF(AG195="2",I195,0)</f>
        <v>0</v>
      </c>
      <c r="X195" s="23">
        <f>IF(AG195="0",J195,0)</f>
        <v>0</v>
      </c>
      <c r="Y195" s="67" t="s">
        <v>176</v>
      </c>
      <c r="Z195" s="4">
        <f>IF(AD195=0,J195,0)</f>
        <v>0</v>
      </c>
      <c r="AA195" s="4">
        <f>IF(AD195=15,J195,0)</f>
        <v>0</v>
      </c>
      <c r="AB195" s="4">
        <f>IF(AD195=21,J195,0)</f>
        <v>0</v>
      </c>
      <c r="AD195" s="23">
        <v>21</v>
      </c>
      <c r="AE195" s="23">
        <f>G195*0</f>
        <v>0</v>
      </c>
      <c r="AF195" s="23">
        <f>G195*(1-0)</f>
        <v>0</v>
      </c>
      <c r="AG195" s="72" t="s">
        <v>7</v>
      </c>
      <c r="AM195" s="23">
        <f>F195*AE195</f>
        <v>0</v>
      </c>
      <c r="AN195" s="23">
        <f>F195*AF195</f>
        <v>0</v>
      </c>
      <c r="AO195" s="75" t="s">
        <v>655</v>
      </c>
      <c r="AP195" s="75" t="s">
        <v>703</v>
      </c>
      <c r="AQ195" s="67" t="s">
        <v>713</v>
      </c>
      <c r="AS195" s="23">
        <f>AM195+AN195</f>
        <v>0</v>
      </c>
      <c r="AT195" s="23">
        <f>G195/(100-AU195)*100</f>
        <v>0</v>
      </c>
      <c r="AU195" s="23">
        <v>0</v>
      </c>
      <c r="AV195" s="23">
        <f>L195</f>
        <v>0</v>
      </c>
    </row>
    <row r="196" spans="1:48" ht="12.75">
      <c r="A196" s="1" t="s">
        <v>152</v>
      </c>
      <c r="B196" s="1" t="s">
        <v>176</v>
      </c>
      <c r="C196" s="1" t="s">
        <v>181</v>
      </c>
      <c r="D196" s="1" t="s">
        <v>355</v>
      </c>
      <c r="E196" s="1" t="s">
        <v>552</v>
      </c>
      <c r="F196" s="4">
        <f>'Rozpočet - vybrané sloupce'!BA195</f>
        <v>23.25</v>
      </c>
      <c r="G196" s="6">
        <f>'Rozpočet - vybrané sloupce'!BF195</f>
        <v>0</v>
      </c>
      <c r="H196" s="4">
        <f>F196*AE196</f>
        <v>0</v>
      </c>
      <c r="I196" s="4">
        <f>J196-H196</f>
        <v>0</v>
      </c>
      <c r="J196" s="4">
        <f>F196*G196</f>
        <v>0</v>
      </c>
      <c r="K196" s="4">
        <v>0</v>
      </c>
      <c r="L196" s="4">
        <f>F196*K196</f>
        <v>0</v>
      </c>
      <c r="M196" s="72" t="s">
        <v>643</v>
      </c>
      <c r="P196" s="23">
        <f>IF(AG196="5",J196,0)</f>
        <v>0</v>
      </c>
      <c r="R196" s="23">
        <f>IF(AG196="1",H196,0)</f>
        <v>0</v>
      </c>
      <c r="S196" s="23">
        <f>IF(AG196="1",I196,0)</f>
        <v>0</v>
      </c>
      <c r="T196" s="23">
        <f>IF(AG196="7",H196,0)</f>
        <v>0</v>
      </c>
      <c r="U196" s="23">
        <f>IF(AG196="7",I196,0)</f>
        <v>0</v>
      </c>
      <c r="V196" s="23">
        <f>IF(AG196="2",H196,0)</f>
        <v>0</v>
      </c>
      <c r="W196" s="23">
        <f>IF(AG196="2",I196,0)</f>
        <v>0</v>
      </c>
      <c r="X196" s="23">
        <f>IF(AG196="0",J196,0)</f>
        <v>0</v>
      </c>
      <c r="Y196" s="67" t="s">
        <v>176</v>
      </c>
      <c r="Z196" s="4">
        <f>IF(AD196=0,J196,0)</f>
        <v>0</v>
      </c>
      <c r="AA196" s="4">
        <f>IF(AD196=15,J196,0)</f>
        <v>0</v>
      </c>
      <c r="AB196" s="4">
        <f>IF(AD196=21,J196,0)</f>
        <v>0</v>
      </c>
      <c r="AD196" s="23">
        <v>21</v>
      </c>
      <c r="AE196" s="23">
        <f>G196*0</f>
        <v>0</v>
      </c>
      <c r="AF196" s="23">
        <f>G196*(1-0)</f>
        <v>0</v>
      </c>
      <c r="AG196" s="72" t="s">
        <v>7</v>
      </c>
      <c r="AM196" s="23">
        <f>F196*AE196</f>
        <v>0</v>
      </c>
      <c r="AN196" s="23">
        <f>F196*AF196</f>
        <v>0</v>
      </c>
      <c r="AO196" s="75" t="s">
        <v>655</v>
      </c>
      <c r="AP196" s="75" t="s">
        <v>703</v>
      </c>
      <c r="AQ196" s="67" t="s">
        <v>713</v>
      </c>
      <c r="AS196" s="23">
        <f>AM196+AN196</f>
        <v>0</v>
      </c>
      <c r="AT196" s="23">
        <f>G196/(100-AU196)*100</f>
        <v>0</v>
      </c>
      <c r="AU196" s="23">
        <v>0</v>
      </c>
      <c r="AV196" s="23">
        <f>L196</f>
        <v>0</v>
      </c>
    </row>
    <row r="197" spans="1:48" ht="12.75">
      <c r="A197" s="1" t="s">
        <v>153</v>
      </c>
      <c r="B197" s="1" t="s">
        <v>176</v>
      </c>
      <c r="C197" s="1" t="s">
        <v>182</v>
      </c>
      <c r="D197" s="1" t="s">
        <v>356</v>
      </c>
      <c r="E197" s="1" t="s">
        <v>553</v>
      </c>
      <c r="F197" s="4">
        <f>'Rozpočet - vybrané sloupce'!BA196</f>
        <v>795.15</v>
      </c>
      <c r="G197" s="6">
        <f>'Rozpočet - vybrané sloupce'!BF196</f>
        <v>0</v>
      </c>
      <c r="H197" s="4">
        <f>F197*AE197</f>
        <v>0</v>
      </c>
      <c r="I197" s="4">
        <f>J197-H197</f>
        <v>0</v>
      </c>
      <c r="J197" s="4">
        <f>F197*G197</f>
        <v>0</v>
      </c>
      <c r="K197" s="4">
        <v>0</v>
      </c>
      <c r="L197" s="4">
        <f>F197*K197</f>
        <v>0</v>
      </c>
      <c r="M197" s="72" t="s">
        <v>643</v>
      </c>
      <c r="P197" s="23">
        <f>IF(AG197="5",J197,0)</f>
        <v>0</v>
      </c>
      <c r="R197" s="23">
        <f>IF(AG197="1",H197,0)</f>
        <v>0</v>
      </c>
      <c r="S197" s="23">
        <f>IF(AG197="1",I197,0)</f>
        <v>0</v>
      </c>
      <c r="T197" s="23">
        <f>IF(AG197="7",H197,0)</f>
        <v>0</v>
      </c>
      <c r="U197" s="23">
        <f>IF(AG197="7",I197,0)</f>
        <v>0</v>
      </c>
      <c r="V197" s="23">
        <f>IF(AG197="2",H197,0)</f>
        <v>0</v>
      </c>
      <c r="W197" s="23">
        <f>IF(AG197="2",I197,0)</f>
        <v>0</v>
      </c>
      <c r="X197" s="23">
        <f>IF(AG197="0",J197,0)</f>
        <v>0</v>
      </c>
      <c r="Y197" s="67" t="s">
        <v>176</v>
      </c>
      <c r="Z197" s="4">
        <f>IF(AD197=0,J197,0)</f>
        <v>0</v>
      </c>
      <c r="AA197" s="4">
        <f>IF(AD197=15,J197,0)</f>
        <v>0</v>
      </c>
      <c r="AB197" s="4">
        <f>IF(AD197=21,J197,0)</f>
        <v>0</v>
      </c>
      <c r="AD197" s="23">
        <v>21</v>
      </c>
      <c r="AE197" s="23">
        <f>G197*0</f>
        <v>0</v>
      </c>
      <c r="AF197" s="23">
        <f>G197*(1-0)</f>
        <v>0</v>
      </c>
      <c r="AG197" s="72" t="s">
        <v>11</v>
      </c>
      <c r="AM197" s="23">
        <f>F197*AE197</f>
        <v>0</v>
      </c>
      <c r="AN197" s="23">
        <f>F197*AF197</f>
        <v>0</v>
      </c>
      <c r="AO197" s="75" t="s">
        <v>655</v>
      </c>
      <c r="AP197" s="75" t="s">
        <v>703</v>
      </c>
      <c r="AQ197" s="67" t="s">
        <v>713</v>
      </c>
      <c r="AS197" s="23">
        <f>AM197+AN197</f>
        <v>0</v>
      </c>
      <c r="AT197" s="23">
        <f>G197/(100-AU197)*100</f>
        <v>0</v>
      </c>
      <c r="AU197" s="23">
        <v>0</v>
      </c>
      <c r="AV197" s="23">
        <f>L197</f>
        <v>0</v>
      </c>
    </row>
    <row r="198" spans="1:48" ht="12.75">
      <c r="A198" s="1" t="s">
        <v>154</v>
      </c>
      <c r="B198" s="1" t="s">
        <v>176</v>
      </c>
      <c r="C198" s="1" t="s">
        <v>183</v>
      </c>
      <c r="D198" s="1" t="s">
        <v>357</v>
      </c>
      <c r="E198" s="1" t="s">
        <v>553</v>
      </c>
      <c r="F198" s="4">
        <f>'Rozpočet - vybrané sloupce'!BA197</f>
        <v>41.85</v>
      </c>
      <c r="G198" s="6">
        <f>'Rozpočet - vybrané sloupce'!BF197</f>
        <v>0</v>
      </c>
      <c r="H198" s="4">
        <f>F198*AE198</f>
        <v>0</v>
      </c>
      <c r="I198" s="4">
        <f>J198-H198</f>
        <v>0</v>
      </c>
      <c r="J198" s="4">
        <f>F198*G198</f>
        <v>0</v>
      </c>
      <c r="K198" s="4">
        <v>0</v>
      </c>
      <c r="L198" s="4">
        <f>F198*K198</f>
        <v>0</v>
      </c>
      <c r="M198" s="72" t="s">
        <v>643</v>
      </c>
      <c r="P198" s="23">
        <f>IF(AG198="5",J198,0)</f>
        <v>0</v>
      </c>
      <c r="R198" s="23">
        <f>IF(AG198="1",H198,0)</f>
        <v>0</v>
      </c>
      <c r="S198" s="23">
        <f>IF(AG198="1",I198,0)</f>
        <v>0</v>
      </c>
      <c r="T198" s="23">
        <f>IF(AG198="7",H198,0)</f>
        <v>0</v>
      </c>
      <c r="U198" s="23">
        <f>IF(AG198="7",I198,0)</f>
        <v>0</v>
      </c>
      <c r="V198" s="23">
        <f>IF(AG198="2",H198,0)</f>
        <v>0</v>
      </c>
      <c r="W198" s="23">
        <f>IF(AG198="2",I198,0)</f>
        <v>0</v>
      </c>
      <c r="X198" s="23">
        <f>IF(AG198="0",J198,0)</f>
        <v>0</v>
      </c>
      <c r="Y198" s="67" t="s">
        <v>176</v>
      </c>
      <c r="Z198" s="4">
        <f>IF(AD198=0,J198,0)</f>
        <v>0</v>
      </c>
      <c r="AA198" s="4">
        <f>IF(AD198=15,J198,0)</f>
        <v>0</v>
      </c>
      <c r="AB198" s="4">
        <f>IF(AD198=21,J198,0)</f>
        <v>0</v>
      </c>
      <c r="AD198" s="23">
        <v>21</v>
      </c>
      <c r="AE198" s="23">
        <f>G198*0</f>
        <v>0</v>
      </c>
      <c r="AF198" s="23">
        <f>G198*(1-0)</f>
        <v>0</v>
      </c>
      <c r="AG198" s="72" t="s">
        <v>11</v>
      </c>
      <c r="AM198" s="23">
        <f>F198*AE198</f>
        <v>0</v>
      </c>
      <c r="AN198" s="23">
        <f>F198*AF198</f>
        <v>0</v>
      </c>
      <c r="AO198" s="75" t="s">
        <v>655</v>
      </c>
      <c r="AP198" s="75" t="s">
        <v>703</v>
      </c>
      <c r="AQ198" s="67" t="s">
        <v>713</v>
      </c>
      <c r="AS198" s="23">
        <f>AM198+AN198</f>
        <v>0</v>
      </c>
      <c r="AT198" s="23">
        <f>G198/(100-AU198)*100</f>
        <v>0</v>
      </c>
      <c r="AU198" s="23">
        <v>0</v>
      </c>
      <c r="AV198" s="23">
        <f>L198</f>
        <v>0</v>
      </c>
    </row>
    <row r="199" spans="1:37" ht="12.75">
      <c r="A199" s="52"/>
      <c r="B199" s="58" t="s">
        <v>176</v>
      </c>
      <c r="C199" s="58" t="s">
        <v>23</v>
      </c>
      <c r="D199" s="58" t="s">
        <v>528</v>
      </c>
      <c r="E199" s="52" t="s">
        <v>6</v>
      </c>
      <c r="F199" s="52" t="s">
        <v>6</v>
      </c>
      <c r="G199" s="64" t="s">
        <v>6</v>
      </c>
      <c r="H199" s="9">
        <f>SUM(H200:H201)</f>
        <v>0</v>
      </c>
      <c r="I199" s="9">
        <f>SUM(I200:I201)</f>
        <v>0</v>
      </c>
      <c r="J199" s="9">
        <f>H199+I199</f>
        <v>0</v>
      </c>
      <c r="K199" s="67"/>
      <c r="L199" s="9">
        <f>SUM(L200:L201)</f>
        <v>4.318</v>
      </c>
      <c r="M199" s="67"/>
      <c r="Y199" s="67" t="s">
        <v>176</v>
      </c>
      <c r="AI199" s="9">
        <f>SUM(Z200:Z201)</f>
        <v>0</v>
      </c>
      <c r="AJ199" s="9">
        <f>SUM(AA200:AA201)</f>
        <v>0</v>
      </c>
      <c r="AK199" s="9">
        <f>SUM(AB200:AB201)</f>
        <v>0</v>
      </c>
    </row>
    <row r="200" spans="1:48" ht="12.75">
      <c r="A200" s="1" t="s">
        <v>155</v>
      </c>
      <c r="B200" s="1" t="s">
        <v>176</v>
      </c>
      <c r="C200" s="1" t="s">
        <v>337</v>
      </c>
      <c r="D200" s="1" t="s">
        <v>529</v>
      </c>
      <c r="E200" s="1" t="s">
        <v>552</v>
      </c>
      <c r="F200" s="4">
        <f>'Rozpočet - vybrané sloupce'!BA199</f>
        <v>32.36</v>
      </c>
      <c r="G200" s="6">
        <f>'Rozpočet - vybrané sloupce'!BF199</f>
        <v>0</v>
      </c>
      <c r="H200" s="4">
        <f>F200*AE200</f>
        <v>0</v>
      </c>
      <c r="I200" s="4">
        <f>J200-H200</f>
        <v>0</v>
      </c>
      <c r="J200" s="4">
        <f>F200*G200</f>
        <v>0</v>
      </c>
      <c r="K200" s="4">
        <v>0</v>
      </c>
      <c r="L200" s="4">
        <f>F200*K200</f>
        <v>0</v>
      </c>
      <c r="M200" s="72" t="s">
        <v>643</v>
      </c>
      <c r="P200" s="23">
        <f>IF(AG200="5",J200,0)</f>
        <v>0</v>
      </c>
      <c r="R200" s="23">
        <f>IF(AG200="1",H200,0)</f>
        <v>0</v>
      </c>
      <c r="S200" s="23">
        <f>IF(AG200="1",I200,0)</f>
        <v>0</v>
      </c>
      <c r="T200" s="23">
        <f>IF(AG200="7",H200,0)</f>
        <v>0</v>
      </c>
      <c r="U200" s="23">
        <f>IF(AG200="7",I200,0)</f>
        <v>0</v>
      </c>
      <c r="V200" s="23">
        <f>IF(AG200="2",H200,0)</f>
        <v>0</v>
      </c>
      <c r="W200" s="23">
        <f>IF(AG200="2",I200,0)</f>
        <v>0</v>
      </c>
      <c r="X200" s="23">
        <f>IF(AG200="0",J200,0)</f>
        <v>0</v>
      </c>
      <c r="Y200" s="67" t="s">
        <v>176</v>
      </c>
      <c r="Z200" s="4">
        <f>IF(AD200=0,J200,0)</f>
        <v>0</v>
      </c>
      <c r="AA200" s="4">
        <f>IF(AD200=15,J200,0)</f>
        <v>0</v>
      </c>
      <c r="AB200" s="4">
        <f>IF(AD200=21,J200,0)</f>
        <v>0</v>
      </c>
      <c r="AD200" s="23">
        <v>21</v>
      </c>
      <c r="AE200" s="23">
        <f>G200*0</f>
        <v>0</v>
      </c>
      <c r="AF200" s="23">
        <f>G200*(1-0)</f>
        <v>0</v>
      </c>
      <c r="AG200" s="72" t="s">
        <v>7</v>
      </c>
      <c r="AM200" s="23">
        <f>F200*AE200</f>
        <v>0</v>
      </c>
      <c r="AN200" s="23">
        <f>F200*AF200</f>
        <v>0</v>
      </c>
      <c r="AO200" s="75" t="s">
        <v>684</v>
      </c>
      <c r="AP200" s="75" t="s">
        <v>703</v>
      </c>
      <c r="AQ200" s="67" t="s">
        <v>713</v>
      </c>
      <c r="AS200" s="23">
        <f>AM200+AN200</f>
        <v>0</v>
      </c>
      <c r="AT200" s="23">
        <f>G200/(100-AU200)*100</f>
        <v>0</v>
      </c>
      <c r="AU200" s="23">
        <v>0</v>
      </c>
      <c r="AV200" s="23">
        <f>L200</f>
        <v>0</v>
      </c>
    </row>
    <row r="201" spans="1:48" ht="12.75">
      <c r="A201" s="1" t="s">
        <v>156</v>
      </c>
      <c r="B201" s="1" t="s">
        <v>176</v>
      </c>
      <c r="C201" s="1" t="s">
        <v>338</v>
      </c>
      <c r="D201" s="1" t="s">
        <v>530</v>
      </c>
      <c r="E201" s="1" t="s">
        <v>552</v>
      </c>
      <c r="F201" s="4">
        <f>'Rozpočet - vybrané sloupce'!BA200</f>
        <v>2.54</v>
      </c>
      <c r="G201" s="6">
        <f>'Rozpočet - vybrané sloupce'!BF200</f>
        <v>0</v>
      </c>
      <c r="H201" s="4">
        <f>F201*AE201</f>
        <v>0</v>
      </c>
      <c r="I201" s="4">
        <f>J201-H201</f>
        <v>0</v>
      </c>
      <c r="J201" s="4">
        <f>F201*G201</f>
        <v>0</v>
      </c>
      <c r="K201" s="4">
        <v>1.7</v>
      </c>
      <c r="L201" s="4">
        <f>F201*K201</f>
        <v>4.318</v>
      </c>
      <c r="M201" s="72" t="s">
        <v>643</v>
      </c>
      <c r="P201" s="23">
        <f>IF(AG201="5",J201,0)</f>
        <v>0</v>
      </c>
      <c r="R201" s="23">
        <f>IF(AG201="1",H201,0)</f>
        <v>0</v>
      </c>
      <c r="S201" s="23">
        <f>IF(AG201="1",I201,0)</f>
        <v>0</v>
      </c>
      <c r="T201" s="23">
        <f>IF(AG201="7",H201,0)</f>
        <v>0</v>
      </c>
      <c r="U201" s="23">
        <f>IF(AG201="7",I201,0)</f>
        <v>0</v>
      </c>
      <c r="V201" s="23">
        <f>IF(AG201="2",H201,0)</f>
        <v>0</v>
      </c>
      <c r="W201" s="23">
        <f>IF(AG201="2",I201,0)</f>
        <v>0</v>
      </c>
      <c r="X201" s="23">
        <f>IF(AG201="0",J201,0)</f>
        <v>0</v>
      </c>
      <c r="Y201" s="67" t="s">
        <v>176</v>
      </c>
      <c r="Z201" s="4">
        <f>IF(AD201=0,J201,0)</f>
        <v>0</v>
      </c>
      <c r="AA201" s="4">
        <f>IF(AD201=15,J201,0)</f>
        <v>0</v>
      </c>
      <c r="AB201" s="4">
        <f>IF(AD201=21,J201,0)</f>
        <v>0</v>
      </c>
      <c r="AD201" s="23">
        <v>21</v>
      </c>
      <c r="AE201" s="23">
        <f>G201*0.507543147208122</f>
        <v>0</v>
      </c>
      <c r="AF201" s="23">
        <f>G201*(1-0.507543147208122)</f>
        <v>0</v>
      </c>
      <c r="AG201" s="72" t="s">
        <v>7</v>
      </c>
      <c r="AM201" s="23">
        <f>F201*AE201</f>
        <v>0</v>
      </c>
      <c r="AN201" s="23">
        <f>F201*AF201</f>
        <v>0</v>
      </c>
      <c r="AO201" s="75" t="s">
        <v>684</v>
      </c>
      <c r="AP201" s="75" t="s">
        <v>703</v>
      </c>
      <c r="AQ201" s="67" t="s">
        <v>713</v>
      </c>
      <c r="AS201" s="23">
        <f>AM201+AN201</f>
        <v>0</v>
      </c>
      <c r="AT201" s="23">
        <f>G201/(100-AU201)*100</f>
        <v>0</v>
      </c>
      <c r="AU201" s="23">
        <v>0</v>
      </c>
      <c r="AV201" s="23">
        <f>L201</f>
        <v>4.318</v>
      </c>
    </row>
    <row r="202" spans="1:37" ht="12.75">
      <c r="A202" s="52"/>
      <c r="B202" s="58" t="s">
        <v>176</v>
      </c>
      <c r="C202" s="58" t="s">
        <v>25</v>
      </c>
      <c r="D202" s="58" t="s">
        <v>358</v>
      </c>
      <c r="E202" s="52" t="s">
        <v>6</v>
      </c>
      <c r="F202" s="52" t="s">
        <v>6</v>
      </c>
      <c r="G202" s="64" t="s">
        <v>6</v>
      </c>
      <c r="H202" s="9">
        <f>SUM(H203:H203)</f>
        <v>0</v>
      </c>
      <c r="I202" s="9">
        <f>SUM(I203:I203)</f>
        <v>0</v>
      </c>
      <c r="J202" s="9">
        <f>H202+I202</f>
        <v>0</v>
      </c>
      <c r="K202" s="67"/>
      <c r="L202" s="9">
        <f>SUM(L203:L203)</f>
        <v>0</v>
      </c>
      <c r="M202" s="67"/>
      <c r="Y202" s="67" t="s">
        <v>176</v>
      </c>
      <c r="AI202" s="9">
        <f>SUM(Z203:Z203)</f>
        <v>0</v>
      </c>
      <c r="AJ202" s="9">
        <f>SUM(AA203:AA203)</f>
        <v>0</v>
      </c>
      <c r="AK202" s="9">
        <f>SUM(AB203:AB203)</f>
        <v>0</v>
      </c>
    </row>
    <row r="203" spans="1:48" ht="12.75">
      <c r="A203" s="1" t="s">
        <v>157</v>
      </c>
      <c r="B203" s="1" t="s">
        <v>176</v>
      </c>
      <c r="C203" s="1" t="s">
        <v>184</v>
      </c>
      <c r="D203" s="1" t="s">
        <v>359</v>
      </c>
      <c r="E203" s="1" t="s">
        <v>553</v>
      </c>
      <c r="F203" s="4">
        <f>'Rozpočet - vybrané sloupce'!BA202</f>
        <v>41.85</v>
      </c>
      <c r="G203" s="6">
        <f>'Rozpočet - vybrané sloupce'!BF202</f>
        <v>0</v>
      </c>
      <c r="H203" s="4">
        <f>F203*AE203</f>
        <v>0</v>
      </c>
      <c r="I203" s="4">
        <f>J203-H203</f>
        <v>0</v>
      </c>
      <c r="J203" s="4">
        <f>F203*G203</f>
        <v>0</v>
      </c>
      <c r="K203" s="4">
        <v>0</v>
      </c>
      <c r="L203" s="4">
        <f>F203*K203</f>
        <v>0</v>
      </c>
      <c r="M203" s="72" t="s">
        <v>643</v>
      </c>
      <c r="P203" s="23">
        <f>IF(AG203="5",J203,0)</f>
        <v>0</v>
      </c>
      <c r="R203" s="23">
        <f>IF(AG203="1",H203,0)</f>
        <v>0</v>
      </c>
      <c r="S203" s="23">
        <f>IF(AG203="1",I203,0)</f>
        <v>0</v>
      </c>
      <c r="T203" s="23">
        <f>IF(AG203="7",H203,0)</f>
        <v>0</v>
      </c>
      <c r="U203" s="23">
        <f>IF(AG203="7",I203,0)</f>
        <v>0</v>
      </c>
      <c r="V203" s="23">
        <f>IF(AG203="2",H203,0)</f>
        <v>0</v>
      </c>
      <c r="W203" s="23">
        <f>IF(AG203="2",I203,0)</f>
        <v>0</v>
      </c>
      <c r="X203" s="23">
        <f>IF(AG203="0",J203,0)</f>
        <v>0</v>
      </c>
      <c r="Y203" s="67" t="s">
        <v>176</v>
      </c>
      <c r="Z203" s="4">
        <f>IF(AD203=0,J203,0)</f>
        <v>0</v>
      </c>
      <c r="AA203" s="4">
        <f>IF(AD203=15,J203,0)</f>
        <v>0</v>
      </c>
      <c r="AB203" s="4">
        <f>IF(AD203=21,J203,0)</f>
        <v>0</v>
      </c>
      <c r="AD203" s="23">
        <v>21</v>
      </c>
      <c r="AE203" s="23">
        <f>G203*0</f>
        <v>0</v>
      </c>
      <c r="AF203" s="23">
        <f>G203*(1-0)</f>
        <v>0</v>
      </c>
      <c r="AG203" s="72" t="s">
        <v>7</v>
      </c>
      <c r="AM203" s="23">
        <f>F203*AE203</f>
        <v>0</v>
      </c>
      <c r="AN203" s="23">
        <f>F203*AF203</f>
        <v>0</v>
      </c>
      <c r="AO203" s="75" t="s">
        <v>656</v>
      </c>
      <c r="AP203" s="75" t="s">
        <v>703</v>
      </c>
      <c r="AQ203" s="67" t="s">
        <v>713</v>
      </c>
      <c r="AS203" s="23">
        <f>AM203+AN203</f>
        <v>0</v>
      </c>
      <c r="AT203" s="23">
        <f>G203/(100-AU203)*100</f>
        <v>0</v>
      </c>
      <c r="AU203" s="23">
        <v>0</v>
      </c>
      <c r="AV203" s="23">
        <f>L203</f>
        <v>0</v>
      </c>
    </row>
    <row r="204" spans="1:37" ht="12.75">
      <c r="A204" s="52"/>
      <c r="B204" s="58" t="s">
        <v>176</v>
      </c>
      <c r="C204" s="58" t="s">
        <v>33</v>
      </c>
      <c r="D204" s="58" t="s">
        <v>360</v>
      </c>
      <c r="E204" s="52" t="s">
        <v>6</v>
      </c>
      <c r="F204" s="52" t="s">
        <v>6</v>
      </c>
      <c r="G204" s="64" t="s">
        <v>6</v>
      </c>
      <c r="H204" s="9">
        <f>SUM(H205:H206)</f>
        <v>0</v>
      </c>
      <c r="I204" s="9">
        <f>SUM(I205:I206)</f>
        <v>0</v>
      </c>
      <c r="J204" s="9">
        <f>H204+I204</f>
        <v>0</v>
      </c>
      <c r="K204" s="67"/>
      <c r="L204" s="9">
        <f>SUM(L205:L206)</f>
        <v>7.55278</v>
      </c>
      <c r="M204" s="67"/>
      <c r="Y204" s="67" t="s">
        <v>176</v>
      </c>
      <c r="AI204" s="9">
        <f>SUM(Z205:Z206)</f>
        <v>0</v>
      </c>
      <c r="AJ204" s="9">
        <f>SUM(AA205:AA206)</f>
        <v>0</v>
      </c>
      <c r="AK204" s="9">
        <f>SUM(AB205:AB206)</f>
        <v>0</v>
      </c>
    </row>
    <row r="205" spans="1:48" ht="12.75">
      <c r="A205" s="1" t="s">
        <v>158</v>
      </c>
      <c r="B205" s="1" t="s">
        <v>176</v>
      </c>
      <c r="C205" s="1" t="s">
        <v>185</v>
      </c>
      <c r="D205" s="1" t="s">
        <v>361</v>
      </c>
      <c r="E205" s="1" t="s">
        <v>552</v>
      </c>
      <c r="F205" s="4">
        <f>'Rozpočet - vybrané sloupce'!BA204</f>
        <v>2</v>
      </c>
      <c r="G205" s="6">
        <f>'Rozpočet - vybrané sloupce'!BF204</f>
        <v>0</v>
      </c>
      <c r="H205" s="4">
        <f>F205*AE205</f>
        <v>0</v>
      </c>
      <c r="I205" s="4">
        <f>J205-H205</f>
        <v>0</v>
      </c>
      <c r="J205" s="4">
        <f>F205*G205</f>
        <v>0</v>
      </c>
      <c r="K205" s="4">
        <v>1.78164</v>
      </c>
      <c r="L205" s="4">
        <f>F205*K205</f>
        <v>3.56328</v>
      </c>
      <c r="M205" s="72" t="s">
        <v>643</v>
      </c>
      <c r="P205" s="23">
        <f>IF(AG205="5",J205,0)</f>
        <v>0</v>
      </c>
      <c r="R205" s="23">
        <f>IF(AG205="1",H205,0)</f>
        <v>0</v>
      </c>
      <c r="S205" s="23">
        <f>IF(AG205="1",I205,0)</f>
        <v>0</v>
      </c>
      <c r="T205" s="23">
        <f>IF(AG205="7",H205,0)</f>
        <v>0</v>
      </c>
      <c r="U205" s="23">
        <f>IF(AG205="7",I205,0)</f>
        <v>0</v>
      </c>
      <c r="V205" s="23">
        <f>IF(AG205="2",H205,0)</f>
        <v>0</v>
      </c>
      <c r="W205" s="23">
        <f>IF(AG205="2",I205,0)</f>
        <v>0</v>
      </c>
      <c r="X205" s="23">
        <f>IF(AG205="0",J205,0)</f>
        <v>0</v>
      </c>
      <c r="Y205" s="67" t="s">
        <v>176</v>
      </c>
      <c r="Z205" s="4">
        <f>IF(AD205=0,J205,0)</f>
        <v>0</v>
      </c>
      <c r="AA205" s="4">
        <f>IF(AD205=15,J205,0)</f>
        <v>0</v>
      </c>
      <c r="AB205" s="4">
        <f>IF(AD205=21,J205,0)</f>
        <v>0</v>
      </c>
      <c r="AD205" s="23">
        <v>21</v>
      </c>
      <c r="AE205" s="23">
        <f>G205*0.592177777777778</f>
        <v>0</v>
      </c>
      <c r="AF205" s="23">
        <f>G205*(1-0.592177777777778)</f>
        <v>0</v>
      </c>
      <c r="AG205" s="72" t="s">
        <v>7</v>
      </c>
      <c r="AM205" s="23">
        <f>F205*AE205</f>
        <v>0</v>
      </c>
      <c r="AN205" s="23">
        <f>F205*AF205</f>
        <v>0</v>
      </c>
      <c r="AO205" s="75" t="s">
        <v>657</v>
      </c>
      <c r="AP205" s="75" t="s">
        <v>704</v>
      </c>
      <c r="AQ205" s="67" t="s">
        <v>713</v>
      </c>
      <c r="AS205" s="23">
        <f>AM205+AN205</f>
        <v>0</v>
      </c>
      <c r="AT205" s="23">
        <f>G205/(100-AU205)*100</f>
        <v>0</v>
      </c>
      <c r="AU205" s="23">
        <v>0</v>
      </c>
      <c r="AV205" s="23">
        <f>L205</f>
        <v>3.56328</v>
      </c>
    </row>
    <row r="206" spans="1:48" ht="12.75">
      <c r="A206" s="1" t="s">
        <v>159</v>
      </c>
      <c r="B206" s="1" t="s">
        <v>176</v>
      </c>
      <c r="C206" s="1" t="s">
        <v>339</v>
      </c>
      <c r="D206" s="1" t="s">
        <v>531</v>
      </c>
      <c r="E206" s="1" t="s">
        <v>552</v>
      </c>
      <c r="F206" s="4">
        <f>'Rozpočet - vybrané sloupce'!BA205</f>
        <v>1.58</v>
      </c>
      <c r="G206" s="6">
        <f>'Rozpočet - vybrané sloupce'!BF205</f>
        <v>0</v>
      </c>
      <c r="H206" s="4">
        <f>F206*AE206</f>
        <v>0</v>
      </c>
      <c r="I206" s="4">
        <f>J206-H206</f>
        <v>0</v>
      </c>
      <c r="J206" s="4">
        <f>F206*G206</f>
        <v>0</v>
      </c>
      <c r="K206" s="4">
        <v>2.525</v>
      </c>
      <c r="L206" s="4">
        <f>F206*K206</f>
        <v>3.9895</v>
      </c>
      <c r="M206" s="72" t="s">
        <v>643</v>
      </c>
      <c r="P206" s="23">
        <f>IF(AG206="5",J206,0)</f>
        <v>0</v>
      </c>
      <c r="R206" s="23">
        <f>IF(AG206="1",H206,0)</f>
        <v>0</v>
      </c>
      <c r="S206" s="23">
        <f>IF(AG206="1",I206,0)</f>
        <v>0</v>
      </c>
      <c r="T206" s="23">
        <f>IF(AG206="7",H206,0)</f>
        <v>0</v>
      </c>
      <c r="U206" s="23">
        <f>IF(AG206="7",I206,0)</f>
        <v>0</v>
      </c>
      <c r="V206" s="23">
        <f>IF(AG206="2",H206,0)</f>
        <v>0</v>
      </c>
      <c r="W206" s="23">
        <f>IF(AG206="2",I206,0)</f>
        <v>0</v>
      </c>
      <c r="X206" s="23">
        <f>IF(AG206="0",J206,0)</f>
        <v>0</v>
      </c>
      <c r="Y206" s="67" t="s">
        <v>176</v>
      </c>
      <c r="Z206" s="4">
        <f>IF(AD206=0,J206,0)</f>
        <v>0</v>
      </c>
      <c r="AA206" s="4">
        <f>IF(AD206=15,J206,0)</f>
        <v>0</v>
      </c>
      <c r="AB206" s="4">
        <f>IF(AD206=21,J206,0)</f>
        <v>0</v>
      </c>
      <c r="AD206" s="23">
        <v>21</v>
      </c>
      <c r="AE206" s="23">
        <f>G206*0.893463002114165</f>
        <v>0</v>
      </c>
      <c r="AF206" s="23">
        <f>G206*(1-0.893463002114165)</f>
        <v>0</v>
      </c>
      <c r="AG206" s="72" t="s">
        <v>7</v>
      </c>
      <c r="AM206" s="23">
        <f>F206*AE206</f>
        <v>0</v>
      </c>
      <c r="AN206" s="23">
        <f>F206*AF206</f>
        <v>0</v>
      </c>
      <c r="AO206" s="75" t="s">
        <v>657</v>
      </c>
      <c r="AP206" s="75" t="s">
        <v>704</v>
      </c>
      <c r="AQ206" s="67" t="s">
        <v>713</v>
      </c>
      <c r="AS206" s="23">
        <f>AM206+AN206</f>
        <v>0</v>
      </c>
      <c r="AT206" s="23">
        <f>G206/(100-AU206)*100</f>
        <v>0</v>
      </c>
      <c r="AU206" s="23">
        <v>0</v>
      </c>
      <c r="AV206" s="23">
        <f>L206</f>
        <v>3.9895</v>
      </c>
    </row>
    <row r="207" spans="1:37" ht="12.75">
      <c r="A207" s="52"/>
      <c r="B207" s="58" t="s">
        <v>176</v>
      </c>
      <c r="C207" s="58" t="s">
        <v>51</v>
      </c>
      <c r="D207" s="58" t="s">
        <v>391</v>
      </c>
      <c r="E207" s="52" t="s">
        <v>6</v>
      </c>
      <c r="F207" s="52" t="s">
        <v>6</v>
      </c>
      <c r="G207" s="64" t="s">
        <v>6</v>
      </c>
      <c r="H207" s="9">
        <f>SUM(H208:H208)</f>
        <v>0</v>
      </c>
      <c r="I207" s="9">
        <f>SUM(I208:I208)</f>
        <v>0</v>
      </c>
      <c r="J207" s="9">
        <f>H207+I207</f>
        <v>0</v>
      </c>
      <c r="K207" s="67"/>
      <c r="L207" s="9">
        <f>SUM(L208:L208)</f>
        <v>5.388694500000001</v>
      </c>
      <c r="M207" s="67"/>
      <c r="Y207" s="67" t="s">
        <v>176</v>
      </c>
      <c r="AI207" s="9">
        <f>SUM(Z208:Z208)</f>
        <v>0</v>
      </c>
      <c r="AJ207" s="9">
        <f>SUM(AA208:AA208)</f>
        <v>0</v>
      </c>
      <c r="AK207" s="9">
        <f>SUM(AB208:AB208)</f>
        <v>0</v>
      </c>
    </row>
    <row r="208" spans="1:48" ht="12.75">
      <c r="A208" s="1" t="s">
        <v>160</v>
      </c>
      <c r="B208" s="1" t="s">
        <v>176</v>
      </c>
      <c r="C208" s="1" t="s">
        <v>210</v>
      </c>
      <c r="D208" s="1" t="s">
        <v>532</v>
      </c>
      <c r="E208" s="1" t="s">
        <v>552</v>
      </c>
      <c r="F208" s="4">
        <f>'Rozpočet - vybrané sloupce'!BA207</f>
        <v>2.85</v>
      </c>
      <c r="G208" s="6">
        <f>'Rozpočet - vybrané sloupce'!BF207</f>
        <v>0</v>
      </c>
      <c r="H208" s="4">
        <f>F208*AE208</f>
        <v>0</v>
      </c>
      <c r="I208" s="4">
        <f>J208-H208</f>
        <v>0</v>
      </c>
      <c r="J208" s="4">
        <f>F208*G208</f>
        <v>0</v>
      </c>
      <c r="K208" s="4">
        <v>1.89077</v>
      </c>
      <c r="L208" s="4">
        <f>F208*K208</f>
        <v>5.388694500000001</v>
      </c>
      <c r="M208" s="72" t="s">
        <v>643</v>
      </c>
      <c r="P208" s="23">
        <f>IF(AG208="5",J208,0)</f>
        <v>0</v>
      </c>
      <c r="R208" s="23">
        <f>IF(AG208="1",H208,0)</f>
        <v>0</v>
      </c>
      <c r="S208" s="23">
        <f>IF(AG208="1",I208,0)</f>
        <v>0</v>
      </c>
      <c r="T208" s="23">
        <f>IF(AG208="7",H208,0)</f>
        <v>0</v>
      </c>
      <c r="U208" s="23">
        <f>IF(AG208="7",I208,0)</f>
        <v>0</v>
      </c>
      <c r="V208" s="23">
        <f>IF(AG208="2",H208,0)</f>
        <v>0</v>
      </c>
      <c r="W208" s="23">
        <f>IF(AG208="2",I208,0)</f>
        <v>0</v>
      </c>
      <c r="X208" s="23">
        <f>IF(AG208="0",J208,0)</f>
        <v>0</v>
      </c>
      <c r="Y208" s="67" t="s">
        <v>176</v>
      </c>
      <c r="Z208" s="4">
        <f>IF(AD208=0,J208,0)</f>
        <v>0</v>
      </c>
      <c r="AA208" s="4">
        <f>IF(AD208=15,J208,0)</f>
        <v>0</v>
      </c>
      <c r="AB208" s="4">
        <f>IF(AD208=21,J208,0)</f>
        <v>0</v>
      </c>
      <c r="AD208" s="23">
        <v>21</v>
      </c>
      <c r="AE208" s="23">
        <f>G208*0.575816541575776</f>
        <v>0</v>
      </c>
      <c r="AF208" s="23">
        <f>G208*(1-0.575816541575776)</f>
        <v>0</v>
      </c>
      <c r="AG208" s="72" t="s">
        <v>7</v>
      </c>
      <c r="AM208" s="23">
        <f>F208*AE208</f>
        <v>0</v>
      </c>
      <c r="AN208" s="23">
        <f>F208*AF208</f>
        <v>0</v>
      </c>
      <c r="AO208" s="75" t="s">
        <v>663</v>
      </c>
      <c r="AP208" s="75" t="s">
        <v>705</v>
      </c>
      <c r="AQ208" s="67" t="s">
        <v>713</v>
      </c>
      <c r="AS208" s="23">
        <f>AM208+AN208</f>
        <v>0</v>
      </c>
      <c r="AT208" s="23">
        <f>G208/(100-AU208)*100</f>
        <v>0</v>
      </c>
      <c r="AU208" s="23">
        <v>0</v>
      </c>
      <c r="AV208" s="23">
        <f>L208</f>
        <v>5.388694500000001</v>
      </c>
    </row>
    <row r="209" spans="1:37" ht="12.75">
      <c r="A209" s="52"/>
      <c r="B209" s="58" t="s">
        <v>176</v>
      </c>
      <c r="C209" s="58" t="s">
        <v>281</v>
      </c>
      <c r="D209" s="58" t="s">
        <v>469</v>
      </c>
      <c r="E209" s="52" t="s">
        <v>6</v>
      </c>
      <c r="F209" s="52" t="s">
        <v>6</v>
      </c>
      <c r="G209" s="64" t="s">
        <v>6</v>
      </c>
      <c r="H209" s="9">
        <f>SUM(H210:H211)</f>
        <v>0</v>
      </c>
      <c r="I209" s="9">
        <f>SUM(I210:I211)</f>
        <v>0</v>
      </c>
      <c r="J209" s="9">
        <f>H209+I209</f>
        <v>0</v>
      </c>
      <c r="K209" s="67"/>
      <c r="L209" s="9">
        <f>SUM(L210:L211)</f>
        <v>0.005985000000000001</v>
      </c>
      <c r="M209" s="67"/>
      <c r="Y209" s="67" t="s">
        <v>176</v>
      </c>
      <c r="AI209" s="9">
        <f>SUM(Z210:Z211)</f>
        <v>0</v>
      </c>
      <c r="AJ209" s="9">
        <f>SUM(AA210:AA211)</f>
        <v>0</v>
      </c>
      <c r="AK209" s="9">
        <f>SUM(AB210:AB211)</f>
        <v>0</v>
      </c>
    </row>
    <row r="210" spans="1:48" ht="12.75">
      <c r="A210" s="1" t="s">
        <v>161</v>
      </c>
      <c r="B210" s="1" t="s">
        <v>176</v>
      </c>
      <c r="C210" s="1" t="s">
        <v>289</v>
      </c>
      <c r="D210" s="1" t="s">
        <v>477</v>
      </c>
      <c r="E210" s="1" t="s">
        <v>556</v>
      </c>
      <c r="F210" s="4">
        <f>'Rozpočet - vybrané sloupce'!BA209</f>
        <v>31.5</v>
      </c>
      <c r="G210" s="6">
        <f>'Rozpočet - vybrané sloupce'!BF209</f>
        <v>0</v>
      </c>
      <c r="H210" s="4">
        <f>F210*AE210</f>
        <v>0</v>
      </c>
      <c r="I210" s="4">
        <f>J210-H210</f>
        <v>0</v>
      </c>
      <c r="J210" s="4">
        <f>F210*G210</f>
        <v>0</v>
      </c>
      <c r="K210" s="4">
        <v>1E-05</v>
      </c>
      <c r="L210" s="4">
        <f>F210*K210</f>
        <v>0.000315</v>
      </c>
      <c r="M210" s="72" t="s">
        <v>643</v>
      </c>
      <c r="P210" s="23">
        <f>IF(AG210="5",J210,0)</f>
        <v>0</v>
      </c>
      <c r="R210" s="23">
        <f>IF(AG210="1",H210,0)</f>
        <v>0</v>
      </c>
      <c r="S210" s="23">
        <f>IF(AG210="1",I210,0)</f>
        <v>0</v>
      </c>
      <c r="T210" s="23">
        <f>IF(AG210="7",H210,0)</f>
        <v>0</v>
      </c>
      <c r="U210" s="23">
        <f>IF(AG210="7",I210,0)</f>
        <v>0</v>
      </c>
      <c r="V210" s="23">
        <f>IF(AG210="2",H210,0)</f>
        <v>0</v>
      </c>
      <c r="W210" s="23">
        <f>IF(AG210="2",I210,0)</f>
        <v>0</v>
      </c>
      <c r="X210" s="23">
        <f>IF(AG210="0",J210,0)</f>
        <v>0</v>
      </c>
      <c r="Y210" s="67" t="s">
        <v>176</v>
      </c>
      <c r="Z210" s="4">
        <f>IF(AD210=0,J210,0)</f>
        <v>0</v>
      </c>
      <c r="AA210" s="4">
        <f>IF(AD210=15,J210,0)</f>
        <v>0</v>
      </c>
      <c r="AB210" s="4">
        <f>IF(AD210=21,J210,0)</f>
        <v>0</v>
      </c>
      <c r="AD210" s="23">
        <v>21</v>
      </c>
      <c r="AE210" s="23">
        <f>G210*0.0535024013119363</f>
        <v>0</v>
      </c>
      <c r="AF210" s="23">
        <f>G210*(1-0.0535024013119363)</f>
        <v>0</v>
      </c>
      <c r="AG210" s="72" t="s">
        <v>13</v>
      </c>
      <c r="AM210" s="23">
        <f>F210*AE210</f>
        <v>0</v>
      </c>
      <c r="AN210" s="23">
        <f>F210*AF210</f>
        <v>0</v>
      </c>
      <c r="AO210" s="75" t="s">
        <v>679</v>
      </c>
      <c r="AP210" s="75" t="s">
        <v>706</v>
      </c>
      <c r="AQ210" s="67" t="s">
        <v>713</v>
      </c>
      <c r="AS210" s="23">
        <f>AM210+AN210</f>
        <v>0</v>
      </c>
      <c r="AT210" s="23">
        <f>G210/(100-AU210)*100</f>
        <v>0</v>
      </c>
      <c r="AU210" s="23">
        <v>0</v>
      </c>
      <c r="AV210" s="23">
        <f>L210</f>
        <v>0.000315</v>
      </c>
    </row>
    <row r="211" spans="1:48" ht="12.75">
      <c r="A211" s="1" t="s">
        <v>162</v>
      </c>
      <c r="B211" s="1" t="s">
        <v>176</v>
      </c>
      <c r="C211" s="1" t="s">
        <v>340</v>
      </c>
      <c r="D211" s="1" t="s">
        <v>533</v>
      </c>
      <c r="E211" s="1" t="s">
        <v>556</v>
      </c>
      <c r="F211" s="4">
        <f>'Rozpočet - vybrané sloupce'!BA210</f>
        <v>31.5</v>
      </c>
      <c r="G211" s="6">
        <f>'Rozpočet - vybrané sloupce'!BF210</f>
        <v>0</v>
      </c>
      <c r="H211" s="4">
        <f>F211*AE211</f>
        <v>0</v>
      </c>
      <c r="I211" s="4">
        <f>J211-H211</f>
        <v>0</v>
      </c>
      <c r="J211" s="4">
        <f>F211*G211</f>
        <v>0</v>
      </c>
      <c r="K211" s="4">
        <v>0.00018</v>
      </c>
      <c r="L211" s="4">
        <f>F211*K211</f>
        <v>0.0056700000000000006</v>
      </c>
      <c r="M211" s="72" t="s">
        <v>643</v>
      </c>
      <c r="P211" s="23">
        <f>IF(AG211="5",J211,0)</f>
        <v>0</v>
      </c>
      <c r="R211" s="23">
        <f>IF(AG211="1",H211,0)</f>
        <v>0</v>
      </c>
      <c r="S211" s="23">
        <f>IF(AG211="1",I211,0)</f>
        <v>0</v>
      </c>
      <c r="T211" s="23">
        <f>IF(AG211="7",H211,0)</f>
        <v>0</v>
      </c>
      <c r="U211" s="23">
        <f>IF(AG211="7",I211,0)</f>
        <v>0</v>
      </c>
      <c r="V211" s="23">
        <f>IF(AG211="2",H211,0)</f>
        <v>0</v>
      </c>
      <c r="W211" s="23">
        <f>IF(AG211="2",I211,0)</f>
        <v>0</v>
      </c>
      <c r="X211" s="23">
        <f>IF(AG211="0",J211,0)</f>
        <v>0</v>
      </c>
      <c r="Y211" s="67" t="s">
        <v>176</v>
      </c>
      <c r="Z211" s="4">
        <f>IF(AD211=0,J211,0)</f>
        <v>0</v>
      </c>
      <c r="AA211" s="4">
        <f>IF(AD211=15,J211,0)</f>
        <v>0</v>
      </c>
      <c r="AB211" s="4">
        <f>IF(AD211=21,J211,0)</f>
        <v>0</v>
      </c>
      <c r="AD211" s="23">
        <v>21</v>
      </c>
      <c r="AE211" s="23">
        <f>G211*0.211419854881267</f>
        <v>0</v>
      </c>
      <c r="AF211" s="23">
        <f>G211*(1-0.211419854881267)</f>
        <v>0</v>
      </c>
      <c r="AG211" s="72" t="s">
        <v>13</v>
      </c>
      <c r="AM211" s="23">
        <f>F211*AE211</f>
        <v>0</v>
      </c>
      <c r="AN211" s="23">
        <f>F211*AF211</f>
        <v>0</v>
      </c>
      <c r="AO211" s="75" t="s">
        <v>679</v>
      </c>
      <c r="AP211" s="75" t="s">
        <v>706</v>
      </c>
      <c r="AQ211" s="67" t="s">
        <v>713</v>
      </c>
      <c r="AS211" s="23">
        <f>AM211+AN211</f>
        <v>0</v>
      </c>
      <c r="AT211" s="23">
        <f>G211/(100-AU211)*100</f>
        <v>0</v>
      </c>
      <c r="AU211" s="23">
        <v>0</v>
      </c>
      <c r="AV211" s="23">
        <f>L211</f>
        <v>0.0056700000000000006</v>
      </c>
    </row>
    <row r="212" spans="1:37" ht="12.75">
      <c r="A212" s="52"/>
      <c r="B212" s="58" t="s">
        <v>176</v>
      </c>
      <c r="C212" s="58" t="s">
        <v>93</v>
      </c>
      <c r="D212" s="58" t="s">
        <v>534</v>
      </c>
      <c r="E212" s="52" t="s">
        <v>6</v>
      </c>
      <c r="F212" s="52" t="s">
        <v>6</v>
      </c>
      <c r="G212" s="64" t="s">
        <v>6</v>
      </c>
      <c r="H212" s="9">
        <f>SUM(H213:H214)</f>
        <v>0</v>
      </c>
      <c r="I212" s="9">
        <f>SUM(I213:I214)</f>
        <v>0</v>
      </c>
      <c r="J212" s="9">
        <f>H212+I212</f>
        <v>0</v>
      </c>
      <c r="K212" s="67"/>
      <c r="L212" s="9">
        <f>SUM(L213:L214)</f>
        <v>0.002075</v>
      </c>
      <c r="M212" s="67"/>
      <c r="Y212" s="67" t="s">
        <v>176</v>
      </c>
      <c r="AI212" s="9">
        <f>SUM(Z213:Z214)</f>
        <v>0</v>
      </c>
      <c r="AJ212" s="9">
        <f>SUM(AA213:AA214)</f>
        <v>0</v>
      </c>
      <c r="AK212" s="9">
        <f>SUM(AB213:AB214)</f>
        <v>0</v>
      </c>
    </row>
    <row r="213" spans="1:48" ht="12.75">
      <c r="A213" s="1" t="s">
        <v>163</v>
      </c>
      <c r="B213" s="1" t="s">
        <v>176</v>
      </c>
      <c r="C213" s="1" t="s">
        <v>341</v>
      </c>
      <c r="D213" s="1" t="s">
        <v>535</v>
      </c>
      <c r="E213" s="1" t="s">
        <v>556</v>
      </c>
      <c r="F213" s="4">
        <f>'Rozpočet - vybrané sloupce'!BA212</f>
        <v>31.5</v>
      </c>
      <c r="G213" s="6">
        <f>'Rozpočet - vybrané sloupce'!BF212</f>
        <v>0</v>
      </c>
      <c r="H213" s="4">
        <f>F213*AE213</f>
        <v>0</v>
      </c>
      <c r="I213" s="4">
        <f>J213-H213</f>
        <v>0</v>
      </c>
      <c r="J213" s="4">
        <f>F213*G213</f>
        <v>0</v>
      </c>
      <c r="K213" s="4">
        <v>1E-05</v>
      </c>
      <c r="L213" s="4">
        <f>F213*K213</f>
        <v>0.000315</v>
      </c>
      <c r="M213" s="72" t="s">
        <v>643</v>
      </c>
      <c r="P213" s="23">
        <f>IF(AG213="5",J213,0)</f>
        <v>0</v>
      </c>
      <c r="R213" s="23">
        <f>IF(AG213="1",H213,0)</f>
        <v>0</v>
      </c>
      <c r="S213" s="23">
        <f>IF(AG213="1",I213,0)</f>
        <v>0</v>
      </c>
      <c r="T213" s="23">
        <f>IF(AG213="7",H213,0)</f>
        <v>0</v>
      </c>
      <c r="U213" s="23">
        <f>IF(AG213="7",I213,0)</f>
        <v>0</v>
      </c>
      <c r="V213" s="23">
        <f>IF(AG213="2",H213,0)</f>
        <v>0</v>
      </c>
      <c r="W213" s="23">
        <f>IF(AG213="2",I213,0)</f>
        <v>0</v>
      </c>
      <c r="X213" s="23">
        <f>IF(AG213="0",J213,0)</f>
        <v>0</v>
      </c>
      <c r="Y213" s="67" t="s">
        <v>176</v>
      </c>
      <c r="Z213" s="4">
        <f>IF(AD213=0,J213,0)</f>
        <v>0</v>
      </c>
      <c r="AA213" s="4">
        <f>IF(AD213=15,J213,0)</f>
        <v>0</v>
      </c>
      <c r="AB213" s="4">
        <f>IF(AD213=21,J213,0)</f>
        <v>0</v>
      </c>
      <c r="AD213" s="23">
        <v>21</v>
      </c>
      <c r="AE213" s="23">
        <f>G213*0.0733894370284388</f>
        <v>0</v>
      </c>
      <c r="AF213" s="23">
        <f>G213*(1-0.0733894370284388)</f>
        <v>0</v>
      </c>
      <c r="AG213" s="72" t="s">
        <v>7</v>
      </c>
      <c r="AM213" s="23">
        <f>F213*AE213</f>
        <v>0</v>
      </c>
      <c r="AN213" s="23">
        <f>F213*AF213</f>
        <v>0</v>
      </c>
      <c r="AO213" s="75" t="s">
        <v>685</v>
      </c>
      <c r="AP213" s="75" t="s">
        <v>707</v>
      </c>
      <c r="AQ213" s="67" t="s">
        <v>713</v>
      </c>
      <c r="AS213" s="23">
        <f>AM213+AN213</f>
        <v>0</v>
      </c>
      <c r="AT213" s="23">
        <f>G213/(100-AU213)*100</f>
        <v>0</v>
      </c>
      <c r="AU213" s="23">
        <v>0</v>
      </c>
      <c r="AV213" s="23">
        <f>L213</f>
        <v>0.000315</v>
      </c>
    </row>
    <row r="214" spans="1:48" ht="12.75">
      <c r="A214" s="1" t="s">
        <v>164</v>
      </c>
      <c r="B214" s="1" t="s">
        <v>176</v>
      </c>
      <c r="C214" s="1" t="s">
        <v>342</v>
      </c>
      <c r="D214" s="1" t="s">
        <v>536</v>
      </c>
      <c r="E214" s="1" t="s">
        <v>556</v>
      </c>
      <c r="F214" s="4">
        <f>'Rozpočet - vybrané sloupce'!BA213</f>
        <v>16</v>
      </c>
      <c r="G214" s="6">
        <f>'Rozpočet - vybrané sloupce'!BF213</f>
        <v>0</v>
      </c>
      <c r="H214" s="4">
        <f>F214*AE214</f>
        <v>0</v>
      </c>
      <c r="I214" s="4">
        <f>J214-H214</f>
        <v>0</v>
      </c>
      <c r="J214" s="4">
        <f>F214*G214</f>
        <v>0</v>
      </c>
      <c r="K214" s="4">
        <v>0.00011</v>
      </c>
      <c r="L214" s="4">
        <f>F214*K214</f>
        <v>0.00176</v>
      </c>
      <c r="M214" s="72" t="s">
        <v>643</v>
      </c>
      <c r="P214" s="23">
        <f>IF(AG214="5",J214,0)</f>
        <v>0</v>
      </c>
      <c r="R214" s="23">
        <f>IF(AG214="1",H214,0)</f>
        <v>0</v>
      </c>
      <c r="S214" s="23">
        <f>IF(AG214="1",I214,0)</f>
        <v>0</v>
      </c>
      <c r="T214" s="23">
        <f>IF(AG214="7",H214,0)</f>
        <v>0</v>
      </c>
      <c r="U214" s="23">
        <f>IF(AG214="7",I214,0)</f>
        <v>0</v>
      </c>
      <c r="V214" s="23">
        <f>IF(AG214="2",H214,0)</f>
        <v>0</v>
      </c>
      <c r="W214" s="23">
        <f>IF(AG214="2",I214,0)</f>
        <v>0</v>
      </c>
      <c r="X214" s="23">
        <f>IF(AG214="0",J214,0)</f>
        <v>0</v>
      </c>
      <c r="Y214" s="67" t="s">
        <v>176</v>
      </c>
      <c r="Z214" s="4">
        <f>IF(AD214=0,J214,0)</f>
        <v>0</v>
      </c>
      <c r="AA214" s="4">
        <f>IF(AD214=15,J214,0)</f>
        <v>0</v>
      </c>
      <c r="AB214" s="4">
        <f>IF(AD214=21,J214,0)</f>
        <v>0</v>
      </c>
      <c r="AD214" s="23">
        <v>21</v>
      </c>
      <c r="AE214" s="23">
        <f>G214*0.130341113105925</f>
        <v>0</v>
      </c>
      <c r="AF214" s="23">
        <f>G214*(1-0.130341113105925)</f>
        <v>0</v>
      </c>
      <c r="AG214" s="72" t="s">
        <v>7</v>
      </c>
      <c r="AM214" s="23">
        <f>F214*AE214</f>
        <v>0</v>
      </c>
      <c r="AN214" s="23">
        <f>F214*AF214</f>
        <v>0</v>
      </c>
      <c r="AO214" s="75" t="s">
        <v>685</v>
      </c>
      <c r="AP214" s="75" t="s">
        <v>707</v>
      </c>
      <c r="AQ214" s="67" t="s">
        <v>713</v>
      </c>
      <c r="AS214" s="23">
        <f>AM214+AN214</f>
        <v>0</v>
      </c>
      <c r="AT214" s="23">
        <f>G214/(100-AU214)*100</f>
        <v>0</v>
      </c>
      <c r="AU214" s="23">
        <v>0</v>
      </c>
      <c r="AV214" s="23">
        <f>L214</f>
        <v>0.00176</v>
      </c>
    </row>
    <row r="215" spans="1:37" ht="12.75">
      <c r="A215" s="52"/>
      <c r="B215" s="58" t="s">
        <v>176</v>
      </c>
      <c r="C215" s="58" t="s">
        <v>95</v>
      </c>
      <c r="D215" s="58" t="s">
        <v>537</v>
      </c>
      <c r="E215" s="52" t="s">
        <v>6</v>
      </c>
      <c r="F215" s="52" t="s">
        <v>6</v>
      </c>
      <c r="G215" s="64" t="s">
        <v>6</v>
      </c>
      <c r="H215" s="9">
        <f>SUM(H216:H219)</f>
        <v>0</v>
      </c>
      <c r="I215" s="9">
        <f>SUM(I216:I219)</f>
        <v>0</v>
      </c>
      <c r="J215" s="9">
        <f>H215+I215</f>
        <v>0</v>
      </c>
      <c r="K215" s="67"/>
      <c r="L215" s="9">
        <f>SUM(L216:L219)</f>
        <v>0</v>
      </c>
      <c r="M215" s="67"/>
      <c r="Y215" s="67" t="s">
        <v>176</v>
      </c>
      <c r="AI215" s="9">
        <f>SUM(Z216:Z219)</f>
        <v>0</v>
      </c>
      <c r="AJ215" s="9">
        <f>SUM(AA216:AA219)</f>
        <v>0</v>
      </c>
      <c r="AK215" s="9">
        <f>SUM(AB216:AB219)</f>
        <v>0</v>
      </c>
    </row>
    <row r="216" spans="1:48" ht="12.75">
      <c r="A216" s="1" t="s">
        <v>165</v>
      </c>
      <c r="B216" s="1" t="s">
        <v>176</v>
      </c>
      <c r="C216" s="1" t="s">
        <v>343</v>
      </c>
      <c r="D216" s="1" t="s">
        <v>538</v>
      </c>
      <c r="E216" s="1" t="s">
        <v>556</v>
      </c>
      <c r="F216" s="4">
        <f>'Rozpočet - vybrané sloupce'!BA215</f>
        <v>47.5</v>
      </c>
      <c r="G216" s="6">
        <f>'Rozpočet - vybrané sloupce'!BF215</f>
        <v>0</v>
      </c>
      <c r="H216" s="4">
        <f>F216*AE216</f>
        <v>0</v>
      </c>
      <c r="I216" s="4">
        <f>J216-H216</f>
        <v>0</v>
      </c>
      <c r="J216" s="4">
        <f>F216*G216</f>
        <v>0</v>
      </c>
      <c r="K216" s="4">
        <v>0</v>
      </c>
      <c r="L216" s="4">
        <f>F216*K216</f>
        <v>0</v>
      </c>
      <c r="M216" s="72" t="s">
        <v>643</v>
      </c>
      <c r="P216" s="23">
        <f>IF(AG216="5",J216,0)</f>
        <v>0</v>
      </c>
      <c r="R216" s="23">
        <f>IF(AG216="1",H216,0)</f>
        <v>0</v>
      </c>
      <c r="S216" s="23">
        <f>IF(AG216="1",I216,0)</f>
        <v>0</v>
      </c>
      <c r="T216" s="23">
        <f>IF(AG216="7",H216,0)</f>
        <v>0</v>
      </c>
      <c r="U216" s="23">
        <f>IF(AG216="7",I216,0)</f>
        <v>0</v>
      </c>
      <c r="V216" s="23">
        <f>IF(AG216="2",H216,0)</f>
        <v>0</v>
      </c>
      <c r="W216" s="23">
        <f>IF(AG216="2",I216,0)</f>
        <v>0</v>
      </c>
      <c r="X216" s="23">
        <f>IF(AG216="0",J216,0)</f>
        <v>0</v>
      </c>
      <c r="Y216" s="67" t="s">
        <v>176</v>
      </c>
      <c r="Z216" s="4">
        <f>IF(AD216=0,J216,0)</f>
        <v>0</v>
      </c>
      <c r="AA216" s="4">
        <f>IF(AD216=15,J216,0)</f>
        <v>0</v>
      </c>
      <c r="AB216" s="4">
        <f>IF(AD216=21,J216,0)</f>
        <v>0</v>
      </c>
      <c r="AD216" s="23">
        <v>21</v>
      </c>
      <c r="AE216" s="23">
        <f>G216*0.321338611011155</f>
        <v>0</v>
      </c>
      <c r="AF216" s="23">
        <f>G216*(1-0.321338611011155)</f>
        <v>0</v>
      </c>
      <c r="AG216" s="72" t="s">
        <v>7</v>
      </c>
      <c r="AM216" s="23">
        <f>F216*AE216</f>
        <v>0</v>
      </c>
      <c r="AN216" s="23">
        <f>F216*AF216</f>
        <v>0</v>
      </c>
      <c r="AO216" s="75" t="s">
        <v>686</v>
      </c>
      <c r="AP216" s="75" t="s">
        <v>707</v>
      </c>
      <c r="AQ216" s="67" t="s">
        <v>713</v>
      </c>
      <c r="AS216" s="23">
        <f>AM216+AN216</f>
        <v>0</v>
      </c>
      <c r="AT216" s="23">
        <f>G216/(100-AU216)*100</f>
        <v>0</v>
      </c>
      <c r="AU216" s="23">
        <v>0</v>
      </c>
      <c r="AV216" s="23">
        <f>L216</f>
        <v>0</v>
      </c>
    </row>
    <row r="217" spans="1:48" ht="12.75">
      <c r="A217" s="1" t="s">
        <v>166</v>
      </c>
      <c r="B217" s="1" t="s">
        <v>176</v>
      </c>
      <c r="C217" s="1" t="s">
        <v>279</v>
      </c>
      <c r="D217" s="1" t="s">
        <v>467</v>
      </c>
      <c r="E217" s="1" t="s">
        <v>556</v>
      </c>
      <c r="F217" s="4">
        <f>'Rozpočet - vybrané sloupce'!BA216</f>
        <v>16</v>
      </c>
      <c r="G217" s="6">
        <f>'Rozpočet - vybrané sloupce'!BF216</f>
        <v>0</v>
      </c>
      <c r="H217" s="4">
        <f>F217*AE217</f>
        <v>0</v>
      </c>
      <c r="I217" s="4">
        <f>J217-H217</f>
        <v>0</v>
      </c>
      <c r="J217" s="4">
        <f>F217*G217</f>
        <v>0</v>
      </c>
      <c r="K217" s="4">
        <v>0</v>
      </c>
      <c r="L217" s="4">
        <f>F217*K217</f>
        <v>0</v>
      </c>
      <c r="M217" s="72" t="s">
        <v>643</v>
      </c>
      <c r="P217" s="23">
        <f>IF(AG217="5",J217,0)</f>
        <v>0</v>
      </c>
      <c r="R217" s="23">
        <f>IF(AG217="1",H217,0)</f>
        <v>0</v>
      </c>
      <c r="S217" s="23">
        <f>IF(AG217="1",I217,0)</f>
        <v>0</v>
      </c>
      <c r="T217" s="23">
        <f>IF(AG217="7",H217,0)</f>
        <v>0</v>
      </c>
      <c r="U217" s="23">
        <f>IF(AG217="7",I217,0)</f>
        <v>0</v>
      </c>
      <c r="V217" s="23">
        <f>IF(AG217="2",H217,0)</f>
        <v>0</v>
      </c>
      <c r="W217" s="23">
        <f>IF(AG217="2",I217,0)</f>
        <v>0</v>
      </c>
      <c r="X217" s="23">
        <f>IF(AG217="0",J217,0)</f>
        <v>0</v>
      </c>
      <c r="Y217" s="67" t="s">
        <v>176</v>
      </c>
      <c r="Z217" s="4">
        <f>IF(AD217=0,J217,0)</f>
        <v>0</v>
      </c>
      <c r="AA217" s="4">
        <f>IF(AD217=15,J217,0)</f>
        <v>0</v>
      </c>
      <c r="AB217" s="4">
        <f>IF(AD217=21,J217,0)</f>
        <v>0</v>
      </c>
      <c r="AD217" s="23">
        <v>21</v>
      </c>
      <c r="AE217" s="23">
        <f>G217*0.0595833333333333</f>
        <v>0</v>
      </c>
      <c r="AF217" s="23">
        <f>G217*(1-0.0595833333333333)</f>
        <v>0</v>
      </c>
      <c r="AG217" s="72" t="s">
        <v>7</v>
      </c>
      <c r="AM217" s="23">
        <f>F217*AE217</f>
        <v>0</v>
      </c>
      <c r="AN217" s="23">
        <f>F217*AF217</f>
        <v>0</v>
      </c>
      <c r="AO217" s="75" t="s">
        <v>686</v>
      </c>
      <c r="AP217" s="75" t="s">
        <v>707</v>
      </c>
      <c r="AQ217" s="67" t="s">
        <v>713</v>
      </c>
      <c r="AS217" s="23">
        <f>AM217+AN217</f>
        <v>0</v>
      </c>
      <c r="AT217" s="23">
        <f>G217/(100-AU217)*100</f>
        <v>0</v>
      </c>
      <c r="AU217" s="23">
        <v>0</v>
      </c>
      <c r="AV217" s="23">
        <f>L217</f>
        <v>0</v>
      </c>
    </row>
    <row r="218" spans="1:48" ht="12.75">
      <c r="A218" s="1" t="s">
        <v>167</v>
      </c>
      <c r="B218" s="1" t="s">
        <v>176</v>
      </c>
      <c r="C218" s="1" t="s">
        <v>344</v>
      </c>
      <c r="D218" s="1" t="s">
        <v>539</v>
      </c>
      <c r="E218" s="1" t="s">
        <v>558</v>
      </c>
      <c r="F218" s="4">
        <f>'Rozpočet - vybrané sloupce'!BA217</f>
        <v>1</v>
      </c>
      <c r="G218" s="6">
        <f>'Rozpočet - vybrané sloupce'!BF217</f>
        <v>0</v>
      </c>
      <c r="H218" s="4">
        <f>F218*AE218</f>
        <v>0</v>
      </c>
      <c r="I218" s="4">
        <f>J218-H218</f>
        <v>0</v>
      </c>
      <c r="J218" s="4">
        <f>F218*G218</f>
        <v>0</v>
      </c>
      <c r="K218" s="4">
        <v>0</v>
      </c>
      <c r="L218" s="4">
        <f>F218*K218</f>
        <v>0</v>
      </c>
      <c r="M218" s="72" t="s">
        <v>643</v>
      </c>
      <c r="P218" s="23">
        <f>IF(AG218="5",J218,0)</f>
        <v>0</v>
      </c>
      <c r="R218" s="23">
        <f>IF(AG218="1",H218,0)</f>
        <v>0</v>
      </c>
      <c r="S218" s="23">
        <f>IF(AG218="1",I218,0)</f>
        <v>0</v>
      </c>
      <c r="T218" s="23">
        <f>IF(AG218="7",H218,0)</f>
        <v>0</v>
      </c>
      <c r="U218" s="23">
        <f>IF(AG218="7",I218,0)</f>
        <v>0</v>
      </c>
      <c r="V218" s="23">
        <f>IF(AG218="2",H218,0)</f>
        <v>0</v>
      </c>
      <c r="W218" s="23">
        <f>IF(AG218="2",I218,0)</f>
        <v>0</v>
      </c>
      <c r="X218" s="23">
        <f>IF(AG218="0",J218,0)</f>
        <v>0</v>
      </c>
      <c r="Y218" s="67" t="s">
        <v>176</v>
      </c>
      <c r="Z218" s="4">
        <f>IF(AD218=0,J218,0)</f>
        <v>0</v>
      </c>
      <c r="AA218" s="4">
        <f>IF(AD218=15,J218,0)</f>
        <v>0</v>
      </c>
      <c r="AB218" s="4">
        <f>IF(AD218=21,J218,0)</f>
        <v>0</v>
      </c>
      <c r="AD218" s="23">
        <v>21</v>
      </c>
      <c r="AE218" s="23">
        <f>G218*1</f>
        <v>0</v>
      </c>
      <c r="AF218" s="23">
        <f>G218*(1-1)</f>
        <v>0</v>
      </c>
      <c r="AG218" s="72" t="s">
        <v>7</v>
      </c>
      <c r="AM218" s="23">
        <f>F218*AE218</f>
        <v>0</v>
      </c>
      <c r="AN218" s="23">
        <f>F218*AF218</f>
        <v>0</v>
      </c>
      <c r="AO218" s="75" t="s">
        <v>686</v>
      </c>
      <c r="AP218" s="75" t="s">
        <v>707</v>
      </c>
      <c r="AQ218" s="67" t="s">
        <v>713</v>
      </c>
      <c r="AS218" s="23">
        <f>AM218+AN218</f>
        <v>0</v>
      </c>
      <c r="AT218" s="23">
        <f>G218/(100-AU218)*100</f>
        <v>0</v>
      </c>
      <c r="AU218" s="23">
        <v>0</v>
      </c>
      <c r="AV218" s="23">
        <f>L218</f>
        <v>0</v>
      </c>
    </row>
    <row r="219" spans="1:48" ht="12.75">
      <c r="A219" s="1" t="s">
        <v>168</v>
      </c>
      <c r="B219" s="1" t="s">
        <v>176</v>
      </c>
      <c r="C219" s="1" t="s">
        <v>345</v>
      </c>
      <c r="D219" s="1" t="s">
        <v>540</v>
      </c>
      <c r="E219" s="1" t="s">
        <v>558</v>
      </c>
      <c r="F219" s="4">
        <f>'Rozpočet - vybrané sloupce'!BA218</f>
        <v>1</v>
      </c>
      <c r="G219" s="6">
        <f>'Rozpočet - vybrané sloupce'!BF218</f>
        <v>0</v>
      </c>
      <c r="H219" s="4">
        <f>F219*AE219</f>
        <v>0</v>
      </c>
      <c r="I219" s="4">
        <f>J219-H219</f>
        <v>0</v>
      </c>
      <c r="J219" s="4">
        <f>F219*G219</f>
        <v>0</v>
      </c>
      <c r="K219" s="4">
        <v>0</v>
      </c>
      <c r="L219" s="4">
        <f>F219*K219</f>
        <v>0</v>
      </c>
      <c r="M219" s="72" t="s">
        <v>643</v>
      </c>
      <c r="P219" s="23">
        <f>IF(AG219="5",J219,0)</f>
        <v>0</v>
      </c>
      <c r="R219" s="23">
        <f>IF(AG219="1",H219,0)</f>
        <v>0</v>
      </c>
      <c r="S219" s="23">
        <f>IF(AG219="1",I219,0)</f>
        <v>0</v>
      </c>
      <c r="T219" s="23">
        <f>IF(AG219="7",H219,0)</f>
        <v>0</v>
      </c>
      <c r="U219" s="23">
        <f>IF(AG219="7",I219,0)</f>
        <v>0</v>
      </c>
      <c r="V219" s="23">
        <f>IF(AG219="2",H219,0)</f>
        <v>0</v>
      </c>
      <c r="W219" s="23">
        <f>IF(AG219="2",I219,0)</f>
        <v>0</v>
      </c>
      <c r="X219" s="23">
        <f>IF(AG219="0",J219,0)</f>
        <v>0</v>
      </c>
      <c r="Y219" s="67" t="s">
        <v>176</v>
      </c>
      <c r="Z219" s="4">
        <f>IF(AD219=0,J219,0)</f>
        <v>0</v>
      </c>
      <c r="AA219" s="4">
        <f>IF(AD219=15,J219,0)</f>
        <v>0</v>
      </c>
      <c r="AB219" s="4">
        <f>IF(AD219=21,J219,0)</f>
        <v>0</v>
      </c>
      <c r="AD219" s="23">
        <v>21</v>
      </c>
      <c r="AE219" s="23">
        <f>G219*1</f>
        <v>0</v>
      </c>
      <c r="AF219" s="23">
        <f>G219*(1-1)</f>
        <v>0</v>
      </c>
      <c r="AG219" s="72" t="s">
        <v>7</v>
      </c>
      <c r="AM219" s="23">
        <f>F219*AE219</f>
        <v>0</v>
      </c>
      <c r="AN219" s="23">
        <f>F219*AF219</f>
        <v>0</v>
      </c>
      <c r="AO219" s="75" t="s">
        <v>686</v>
      </c>
      <c r="AP219" s="75" t="s">
        <v>707</v>
      </c>
      <c r="AQ219" s="67" t="s">
        <v>713</v>
      </c>
      <c r="AS219" s="23">
        <f>AM219+AN219</f>
        <v>0</v>
      </c>
      <c r="AT219" s="23">
        <f>G219/(100-AU219)*100</f>
        <v>0</v>
      </c>
      <c r="AU219" s="23">
        <v>0</v>
      </c>
      <c r="AV219" s="23">
        <f>L219</f>
        <v>0</v>
      </c>
    </row>
    <row r="220" spans="1:37" ht="12.75">
      <c r="A220" s="52"/>
      <c r="B220" s="58" t="s">
        <v>176</v>
      </c>
      <c r="C220" s="58"/>
      <c r="D220" s="58" t="s">
        <v>450</v>
      </c>
      <c r="E220" s="52" t="s">
        <v>6</v>
      </c>
      <c r="F220" s="52" t="s">
        <v>6</v>
      </c>
      <c r="G220" s="64" t="s">
        <v>6</v>
      </c>
      <c r="H220" s="9">
        <f>SUM(H221:H222)</f>
        <v>0</v>
      </c>
      <c r="I220" s="9">
        <f>SUM(I221:I222)</f>
        <v>0</v>
      </c>
      <c r="J220" s="9">
        <f>H220+I220</f>
        <v>0</v>
      </c>
      <c r="K220" s="67"/>
      <c r="L220" s="9">
        <f>SUM(L221:L222)</f>
        <v>0.036019999999999996</v>
      </c>
      <c r="M220" s="67"/>
      <c r="Y220" s="67" t="s">
        <v>176</v>
      </c>
      <c r="AI220" s="9">
        <f>SUM(Z221:Z222)</f>
        <v>0</v>
      </c>
      <c r="AJ220" s="9">
        <f>SUM(AA221:AA222)</f>
        <v>0</v>
      </c>
      <c r="AK220" s="9">
        <f>SUM(AB221:AB222)</f>
        <v>0</v>
      </c>
    </row>
    <row r="221" spans="1:48" ht="12.75">
      <c r="A221" s="2" t="s">
        <v>169</v>
      </c>
      <c r="B221" s="2" t="s">
        <v>176</v>
      </c>
      <c r="C221" s="2" t="s">
        <v>346</v>
      </c>
      <c r="D221" s="2" t="s">
        <v>541</v>
      </c>
      <c r="E221" s="2" t="s">
        <v>556</v>
      </c>
      <c r="F221" s="5">
        <f>'Rozpočet - vybrané sloupce'!BA220</f>
        <v>31.5</v>
      </c>
      <c r="G221" s="7">
        <f>'Rozpočet - vybrané sloupce'!BF220</f>
        <v>0</v>
      </c>
      <c r="H221" s="5">
        <f>F221*AE221</f>
        <v>0</v>
      </c>
      <c r="I221" s="5">
        <f>J221-H221</f>
        <v>0</v>
      </c>
      <c r="J221" s="5">
        <f>F221*G221</f>
        <v>0</v>
      </c>
      <c r="K221" s="5">
        <v>0.00028</v>
      </c>
      <c r="L221" s="5">
        <f>F221*K221</f>
        <v>0.00882</v>
      </c>
      <c r="M221" s="73" t="s">
        <v>643</v>
      </c>
      <c r="P221" s="23">
        <f>IF(AG221="5",J221,0)</f>
        <v>0</v>
      </c>
      <c r="R221" s="23">
        <f>IF(AG221="1",H221,0)</f>
        <v>0</v>
      </c>
      <c r="S221" s="23">
        <f>IF(AG221="1",I221,0)</f>
        <v>0</v>
      </c>
      <c r="T221" s="23">
        <f>IF(AG221="7",H221,0)</f>
        <v>0</v>
      </c>
      <c r="U221" s="23">
        <f>IF(AG221="7",I221,0)</f>
        <v>0</v>
      </c>
      <c r="V221" s="23">
        <f>IF(AG221="2",H221,0)</f>
        <v>0</v>
      </c>
      <c r="W221" s="23">
        <f>IF(AG221="2",I221,0)</f>
        <v>0</v>
      </c>
      <c r="X221" s="23">
        <f>IF(AG221="0",J221,0)</f>
        <v>0</v>
      </c>
      <c r="Y221" s="67" t="s">
        <v>176</v>
      </c>
      <c r="Z221" s="5">
        <f>IF(AD221=0,J221,0)</f>
        <v>0</v>
      </c>
      <c r="AA221" s="5">
        <f>IF(AD221=15,J221,0)</f>
        <v>0</v>
      </c>
      <c r="AB221" s="5">
        <f>IF(AD221=21,J221,0)</f>
        <v>0</v>
      </c>
      <c r="AD221" s="23">
        <v>21</v>
      </c>
      <c r="AE221" s="23">
        <f>G221*1</f>
        <v>0</v>
      </c>
      <c r="AF221" s="23">
        <f>G221*(1-1)</f>
        <v>0</v>
      </c>
      <c r="AG221" s="73" t="s">
        <v>653</v>
      </c>
      <c r="AM221" s="23">
        <f>F221*AE221</f>
        <v>0</v>
      </c>
      <c r="AN221" s="23">
        <f>F221*AF221</f>
        <v>0</v>
      </c>
      <c r="AO221" s="75" t="s">
        <v>677</v>
      </c>
      <c r="AP221" s="75" t="s">
        <v>708</v>
      </c>
      <c r="AQ221" s="67" t="s">
        <v>713</v>
      </c>
      <c r="AS221" s="23">
        <f>AM221+AN221</f>
        <v>0</v>
      </c>
      <c r="AT221" s="23">
        <f>G221/(100-AU221)*100</f>
        <v>0</v>
      </c>
      <c r="AU221" s="23">
        <v>0</v>
      </c>
      <c r="AV221" s="23">
        <f>L221</f>
        <v>0.00882</v>
      </c>
    </row>
    <row r="222" spans="1:48" ht="12.75">
      <c r="A222" s="54" t="s">
        <v>170</v>
      </c>
      <c r="B222" s="54" t="s">
        <v>176</v>
      </c>
      <c r="C222" s="54" t="s">
        <v>347</v>
      </c>
      <c r="D222" s="54" t="s">
        <v>542</v>
      </c>
      <c r="E222" s="54" t="s">
        <v>555</v>
      </c>
      <c r="F222" s="69">
        <f>'Rozpočet - vybrané sloupce'!BA221</f>
        <v>16</v>
      </c>
      <c r="G222" s="76">
        <f>'Rozpočet - vybrané sloupce'!BF221</f>
        <v>0</v>
      </c>
      <c r="H222" s="69">
        <f>F222*AE222</f>
        <v>0</v>
      </c>
      <c r="I222" s="69">
        <f>J222-H222</f>
        <v>0</v>
      </c>
      <c r="J222" s="69">
        <f>F222*G222</f>
        <v>0</v>
      </c>
      <c r="K222" s="69">
        <v>0.0017</v>
      </c>
      <c r="L222" s="69">
        <f>F222*K222</f>
        <v>0.0272</v>
      </c>
      <c r="M222" s="74" t="s">
        <v>643</v>
      </c>
      <c r="P222" s="23">
        <f>IF(AG222="5",J222,0)</f>
        <v>0</v>
      </c>
      <c r="R222" s="23">
        <f>IF(AG222="1",H222,0)</f>
        <v>0</v>
      </c>
      <c r="S222" s="23">
        <f>IF(AG222="1",I222,0)</f>
        <v>0</v>
      </c>
      <c r="T222" s="23">
        <f>IF(AG222="7",H222,0)</f>
        <v>0</v>
      </c>
      <c r="U222" s="23">
        <f>IF(AG222="7",I222,0)</f>
        <v>0</v>
      </c>
      <c r="V222" s="23">
        <f>IF(AG222="2",H222,0)</f>
        <v>0</v>
      </c>
      <c r="W222" s="23">
        <f>IF(AG222="2",I222,0)</f>
        <v>0</v>
      </c>
      <c r="X222" s="23">
        <f>IF(AG222="0",J222,0)</f>
        <v>0</v>
      </c>
      <c r="Y222" s="67" t="s">
        <v>176</v>
      </c>
      <c r="Z222" s="5">
        <f>IF(AD222=0,J222,0)</f>
        <v>0</v>
      </c>
      <c r="AA222" s="5">
        <f>IF(AD222=15,J222,0)</f>
        <v>0</v>
      </c>
      <c r="AB222" s="5">
        <f>IF(AD222=21,J222,0)</f>
        <v>0</v>
      </c>
      <c r="AD222" s="23">
        <v>21</v>
      </c>
      <c r="AE222" s="23">
        <f>G222*1</f>
        <v>0</v>
      </c>
      <c r="AF222" s="23">
        <f>G222*(1-1)</f>
        <v>0</v>
      </c>
      <c r="AG222" s="73" t="s">
        <v>653</v>
      </c>
      <c r="AM222" s="23">
        <f>F222*AE222</f>
        <v>0</v>
      </c>
      <c r="AN222" s="23">
        <f>F222*AF222</f>
        <v>0</v>
      </c>
      <c r="AO222" s="75" t="s">
        <v>677</v>
      </c>
      <c r="AP222" s="75" t="s">
        <v>708</v>
      </c>
      <c r="AQ222" s="67" t="s">
        <v>713</v>
      </c>
      <c r="AS222" s="23">
        <f>AM222+AN222</f>
        <v>0</v>
      </c>
      <c r="AT222" s="23">
        <f>G222/(100-AU222)*100</f>
        <v>0</v>
      </c>
      <c r="AU222" s="23">
        <v>0</v>
      </c>
      <c r="AV222" s="23">
        <f>L222</f>
        <v>0.0272</v>
      </c>
    </row>
    <row r="223" spans="1:13" ht="12.75">
      <c r="A223" s="16"/>
      <c r="B223" s="16"/>
      <c r="C223" s="16"/>
      <c r="D223" s="16"/>
      <c r="E223" s="16"/>
      <c r="F223" s="16"/>
      <c r="G223" s="16"/>
      <c r="H223" s="153" t="s">
        <v>563</v>
      </c>
      <c r="I223" s="148"/>
      <c r="J223" s="26">
        <f>ROUND(J13+J16+J21+J23+J38+J40+J45+J47+J50+J54+J56+J64+J73+J79+J82+J87+J91+J94+J97+J102+J107+J109+J111+J113+J124+J132+J146+J156+J160+J165+J167+J188+J191+J194+J199+J202+J204+J207+J209+J212+J215+J220,0)</f>
        <v>0</v>
      </c>
      <c r="K223" s="16"/>
      <c r="L223" s="16"/>
      <c r="M223" s="16"/>
    </row>
    <row r="224" ht="11.25" customHeight="1">
      <c r="A224" s="17" t="s">
        <v>566</v>
      </c>
    </row>
    <row r="225" spans="1:13" ht="12.75">
      <c r="A225" s="135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</row>
  </sheetData>
  <sheetProtection sheet="1" objects="1" scenarios="1"/>
  <mergeCells count="29">
    <mergeCell ref="I4:I5"/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8:I9"/>
    <mergeCell ref="J8:M9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H10:J10"/>
    <mergeCell ref="K10:L10"/>
    <mergeCell ref="H223:I223"/>
    <mergeCell ref="A225:M22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Honza</cp:lastModifiedBy>
  <cp:lastPrinted>2018-07-03T09:27:03Z</cp:lastPrinted>
  <dcterms:created xsi:type="dcterms:W3CDTF">2018-07-03T08:26:39Z</dcterms:created>
  <dcterms:modified xsi:type="dcterms:W3CDTF">2018-07-05T08:40:47Z</dcterms:modified>
  <cp:category/>
  <cp:version/>
  <cp:contentType/>
  <cp:contentStatus/>
</cp:coreProperties>
</file>